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2"/>
  </bookViews>
  <sheets>
    <sheet name="предлог план со подружници" sheetId="1" r:id="rId1"/>
    <sheet name="споредбено со 2020 и 2021" sheetId="2" r:id="rId2"/>
    <sheet name="споредбено 2021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63" i="1" l="1"/>
  <c r="C124" i="1" l="1"/>
  <c r="C24" i="1" l="1"/>
  <c r="M6" i="1" l="1"/>
  <c r="R29" i="1" l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D10" i="1" l="1"/>
  <c r="D6" i="1"/>
  <c r="D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E12" i="1"/>
  <c r="F12" i="1"/>
  <c r="G12" i="1"/>
  <c r="H12" i="1"/>
  <c r="I12" i="1"/>
  <c r="J12" i="1"/>
  <c r="L12" i="1"/>
  <c r="M12" i="1"/>
  <c r="N12" i="1"/>
  <c r="O12" i="1"/>
  <c r="P12" i="1"/>
  <c r="Q12" i="1"/>
  <c r="R12" i="1"/>
  <c r="E8" i="1"/>
  <c r="F8" i="1"/>
  <c r="H8" i="1"/>
  <c r="I8" i="1"/>
  <c r="J8" i="1"/>
  <c r="K8" i="1"/>
  <c r="L8" i="1"/>
  <c r="M8" i="1"/>
  <c r="N8" i="1"/>
  <c r="O8" i="1"/>
  <c r="P8" i="1"/>
  <c r="Q8" i="1"/>
  <c r="R8" i="1"/>
  <c r="E15" i="1"/>
  <c r="F15" i="1"/>
  <c r="G15" i="1"/>
  <c r="H15" i="1"/>
  <c r="I15" i="1"/>
  <c r="J15" i="1"/>
  <c r="M15" i="1"/>
  <c r="N15" i="1"/>
  <c r="O15" i="1"/>
  <c r="P15" i="1"/>
  <c r="Q15" i="1"/>
  <c r="R15" i="1"/>
  <c r="D16" i="1"/>
  <c r="D15" i="1" s="1"/>
  <c r="D12" i="1"/>
  <c r="H5" i="1"/>
  <c r="J5" i="1"/>
  <c r="J4" i="1" s="1"/>
  <c r="K5" i="1"/>
  <c r="L5" i="1"/>
  <c r="M5" i="1"/>
  <c r="Q5" i="1"/>
  <c r="R5" i="1"/>
  <c r="H4" i="1"/>
  <c r="Q4" i="1"/>
  <c r="C9" i="1"/>
  <c r="C13" i="1"/>
  <c r="C18" i="1"/>
  <c r="C21" i="1"/>
  <c r="C22" i="1"/>
  <c r="C23" i="1"/>
  <c r="C25" i="1"/>
  <c r="C26" i="1"/>
  <c r="C29" i="1"/>
  <c r="S33" i="1" s="1"/>
  <c r="C30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1" i="1"/>
  <c r="C52" i="1"/>
  <c r="C53" i="1"/>
  <c r="C54" i="1"/>
  <c r="C55" i="1"/>
  <c r="C56" i="1"/>
  <c r="C58" i="1"/>
  <c r="C59" i="1"/>
  <c r="C60" i="1"/>
  <c r="C61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1" i="1"/>
  <c r="C82" i="1"/>
  <c r="C83" i="1"/>
  <c r="C84" i="1"/>
  <c r="C85" i="1"/>
  <c r="C86" i="1"/>
  <c r="C87" i="1"/>
  <c r="C90" i="1"/>
  <c r="C91" i="1"/>
  <c r="C92" i="1"/>
  <c r="C93" i="1"/>
  <c r="C94" i="1"/>
  <c r="C95" i="1"/>
  <c r="C96" i="1"/>
  <c r="C97" i="1"/>
  <c r="C98" i="1"/>
  <c r="C100" i="1"/>
  <c r="C101" i="1"/>
  <c r="C102" i="1"/>
  <c r="C103" i="1"/>
  <c r="C104" i="1"/>
  <c r="C105" i="1"/>
  <c r="C106" i="1"/>
  <c r="C108" i="1"/>
  <c r="C109" i="1"/>
  <c r="C110" i="1"/>
  <c r="C111" i="1"/>
  <c r="C112" i="1"/>
  <c r="C113" i="1"/>
  <c r="C115" i="1"/>
  <c r="C116" i="1"/>
  <c r="C117" i="1"/>
  <c r="C118" i="1"/>
  <c r="C119" i="1"/>
  <c r="C120" i="1"/>
  <c r="C121" i="1"/>
  <c r="C122" i="1"/>
  <c r="C123" i="1"/>
  <c r="E28" i="1"/>
  <c r="F28" i="1"/>
  <c r="G28" i="1"/>
  <c r="H28" i="1"/>
  <c r="I28" i="1"/>
  <c r="J28" i="1"/>
  <c r="K28" i="1"/>
  <c r="L28" i="1"/>
  <c r="M28" i="1"/>
  <c r="O28" i="1"/>
  <c r="P28" i="1"/>
  <c r="Q28" i="1"/>
  <c r="D28" i="1"/>
  <c r="R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D89" i="1"/>
  <c r="C89" i="1" s="1"/>
  <c r="R76" i="1"/>
  <c r="C76" i="1" s="1"/>
  <c r="L16" i="1"/>
  <c r="L15" i="1" s="1"/>
  <c r="L4" i="1" s="1"/>
  <c r="K16" i="1"/>
  <c r="K15" i="1" s="1"/>
  <c r="C15" i="1" l="1"/>
  <c r="C16" i="1"/>
  <c r="M4" i="1"/>
  <c r="K14" i="1"/>
  <c r="R20" i="1"/>
  <c r="K57" i="1"/>
  <c r="C57" i="1" s="1"/>
  <c r="C50" i="1"/>
  <c r="N6" i="1"/>
  <c r="N5" i="1" s="1"/>
  <c r="N4" i="1" s="1"/>
  <c r="I6" i="1"/>
  <c r="I5" i="1" s="1"/>
  <c r="I4" i="1" s="1"/>
  <c r="G6" i="1"/>
  <c r="G5" i="1" s="1"/>
  <c r="D11" i="1"/>
  <c r="C11" i="1" s="1"/>
  <c r="I99" i="1"/>
  <c r="N99" i="1"/>
  <c r="F99" i="1"/>
  <c r="C99" i="1" s="1"/>
  <c r="F7" i="1"/>
  <c r="E7" i="1"/>
  <c r="P6" i="1"/>
  <c r="P5" i="1" s="1"/>
  <c r="P4" i="1" s="1"/>
  <c r="O6" i="1"/>
  <c r="O5" i="1" s="1"/>
  <c r="O4" i="1" s="1"/>
  <c r="F6" i="1"/>
  <c r="D19" i="1"/>
  <c r="D8" i="1"/>
  <c r="D5" i="1"/>
  <c r="G10" i="1"/>
  <c r="G8" i="1" s="1"/>
  <c r="R31" i="1"/>
  <c r="R28" i="1" s="1"/>
  <c r="G4" i="1" l="1"/>
  <c r="D17" i="1"/>
  <c r="C19" i="1"/>
  <c r="C7" i="1"/>
  <c r="E5" i="1"/>
  <c r="E4" i="1" s="1"/>
  <c r="C14" i="1"/>
  <c r="K12" i="1"/>
  <c r="C8" i="1"/>
  <c r="F5" i="1"/>
  <c r="F4" i="1" s="1"/>
  <c r="C6" i="1"/>
  <c r="R17" i="1"/>
  <c r="R4" i="1" s="1"/>
  <c r="C20" i="1"/>
  <c r="C10" i="1"/>
  <c r="D4" i="1"/>
  <c r="E121" i="2"/>
  <c r="C17" i="1" l="1"/>
  <c r="C12" i="1"/>
  <c r="K4" i="1"/>
  <c r="C5" i="1"/>
  <c r="N31" i="1"/>
  <c r="M62" i="1"/>
  <c r="L114" i="1"/>
  <c r="M114" i="1"/>
  <c r="N114" i="1"/>
  <c r="O114" i="1"/>
  <c r="P114" i="1"/>
  <c r="Q114" i="1"/>
  <c r="R114" i="1"/>
  <c r="K114" i="1"/>
  <c r="J114" i="1"/>
  <c r="C31" i="1" l="1"/>
  <c r="N28" i="1"/>
  <c r="H114" i="1"/>
  <c r="C28" i="1" l="1"/>
  <c r="H107" i="1"/>
  <c r="H88" i="1" s="1"/>
  <c r="F107" i="1"/>
  <c r="F88" i="1" s="1"/>
  <c r="H62" i="1"/>
  <c r="I62" i="1"/>
  <c r="J62" i="1"/>
  <c r="K62" i="1"/>
  <c r="L62" i="1"/>
  <c r="N62" i="1"/>
  <c r="O62" i="1"/>
  <c r="P62" i="1"/>
  <c r="Q62" i="1"/>
  <c r="R62" i="1"/>
  <c r="G62" i="1"/>
  <c r="D107" i="1"/>
  <c r="D114" i="1"/>
  <c r="D88" i="1" l="1"/>
  <c r="G32" i="1"/>
  <c r="H32" i="1"/>
  <c r="H27" i="1" s="1"/>
  <c r="I32" i="1"/>
  <c r="J32" i="1"/>
  <c r="K32" i="1"/>
  <c r="L32" i="1"/>
  <c r="M32" i="1"/>
  <c r="N32" i="1"/>
  <c r="O32" i="1"/>
  <c r="P32" i="1"/>
  <c r="Q32" i="1"/>
  <c r="R32" i="1"/>
  <c r="G107" i="1"/>
  <c r="G88" i="1" s="1"/>
  <c r="I107" i="1"/>
  <c r="I88" i="1" s="1"/>
  <c r="J107" i="1"/>
  <c r="K107" i="1"/>
  <c r="L107" i="1"/>
  <c r="M107" i="1"/>
  <c r="N107" i="1"/>
  <c r="O107" i="1"/>
  <c r="O88" i="1" s="1"/>
  <c r="P107" i="1"/>
  <c r="P88" i="1" s="1"/>
  <c r="Q107" i="1"/>
  <c r="Q88" i="1" s="1"/>
  <c r="R107" i="1"/>
  <c r="R88" i="1" s="1"/>
  <c r="R27" i="1" l="1"/>
  <c r="P27" i="1"/>
  <c r="D27" i="1"/>
  <c r="D124" i="1" s="1"/>
  <c r="Q27" i="1"/>
  <c r="O27" i="1"/>
  <c r="I27" i="1"/>
  <c r="G27" i="1"/>
  <c r="P124" i="1"/>
  <c r="N88" i="1"/>
  <c r="N27" i="1" s="1"/>
  <c r="M88" i="1"/>
  <c r="M27" i="1" s="1"/>
  <c r="L88" i="1"/>
  <c r="L27" i="1" s="1"/>
  <c r="K88" i="1"/>
  <c r="K27" i="1" s="1"/>
  <c r="J88" i="1"/>
  <c r="J27" i="1" s="1"/>
  <c r="F114" i="1"/>
  <c r="C114" i="1" s="1"/>
  <c r="F62" i="1"/>
  <c r="R124" i="1" l="1"/>
  <c r="Q124" i="1"/>
  <c r="O124" i="1"/>
  <c r="N124" i="1"/>
  <c r="M124" i="1"/>
  <c r="L124" i="1"/>
  <c r="K124" i="1"/>
  <c r="J124" i="1"/>
  <c r="I124" i="1"/>
  <c r="H124" i="1"/>
  <c r="G124" i="1"/>
  <c r="C4" i="1"/>
  <c r="W4" i="1" l="1"/>
  <c r="E62" i="1"/>
  <c r="C62" i="1" s="1"/>
  <c r="F32" i="1"/>
  <c r="F27" i="1" s="1"/>
  <c r="E32" i="1"/>
  <c r="E107" i="1"/>
  <c r="C107" i="1" s="1"/>
  <c r="C32" i="1" l="1"/>
  <c r="E88" i="1"/>
  <c r="C88" i="1" s="1"/>
  <c r="E27" i="1" l="1"/>
  <c r="C27" i="1"/>
  <c r="D118" i="2"/>
  <c r="E124" i="1" l="1"/>
  <c r="F124" i="1"/>
  <c r="C120" i="2" l="1"/>
  <c r="C104" i="2" l="1"/>
  <c r="H104" i="2" s="1"/>
  <c r="C105" i="2"/>
  <c r="H105" i="2" s="1"/>
  <c r="C5" i="2" l="1"/>
  <c r="J4" i="2" s="1"/>
  <c r="C6" i="2"/>
  <c r="H6" i="2" s="1"/>
  <c r="C8" i="2"/>
  <c r="H8" i="2" s="1"/>
  <c r="C9" i="2"/>
  <c r="H9" i="2" s="1"/>
  <c r="C10" i="2"/>
  <c r="H10" i="2" s="1"/>
  <c r="C12" i="2"/>
  <c r="H12" i="2" s="1"/>
  <c r="C13" i="2"/>
  <c r="H13" i="2" s="1"/>
  <c r="C15" i="2"/>
  <c r="H15" i="2" s="1"/>
  <c r="C17" i="2"/>
  <c r="H17" i="2" s="1"/>
  <c r="C18" i="2"/>
  <c r="H18" i="2" s="1"/>
  <c r="C19" i="2"/>
  <c r="H19" i="2" s="1"/>
  <c r="C20" i="2"/>
  <c r="C22" i="2"/>
  <c r="H22" i="2" s="1"/>
  <c r="C23" i="2"/>
  <c r="C24" i="2"/>
  <c r="H24" i="2" s="1"/>
  <c r="C25" i="2"/>
  <c r="C32" i="2"/>
  <c r="H32" i="2" s="1"/>
  <c r="C33" i="2"/>
  <c r="H33" i="2" s="1"/>
  <c r="C34" i="2"/>
  <c r="H34" i="2" s="1"/>
  <c r="C35" i="2"/>
  <c r="H35" i="2" s="1"/>
  <c r="C36" i="2"/>
  <c r="H36" i="2" s="1"/>
  <c r="C37" i="2"/>
  <c r="H37" i="2" s="1"/>
  <c r="C38" i="2"/>
  <c r="H38" i="2" s="1"/>
  <c r="C39" i="2"/>
  <c r="H39" i="2" s="1"/>
  <c r="C40" i="2"/>
  <c r="H40" i="2" s="1"/>
  <c r="C41" i="2"/>
  <c r="H41" i="2" s="1"/>
  <c r="C42" i="2"/>
  <c r="H42" i="2" s="1"/>
  <c r="C43" i="2"/>
  <c r="H43" i="2" s="1"/>
  <c r="C44" i="2"/>
  <c r="H44" i="2" s="1"/>
  <c r="C45" i="2"/>
  <c r="H45" i="2" s="1"/>
  <c r="C46" i="2"/>
  <c r="H46" i="2" s="1"/>
  <c r="C47" i="2"/>
  <c r="H47" i="2" s="1"/>
  <c r="C48" i="2"/>
  <c r="H48" i="2" s="1"/>
  <c r="C49" i="2"/>
  <c r="H49" i="2" s="1"/>
  <c r="C50" i="2"/>
  <c r="H50" i="2" s="1"/>
  <c r="C51" i="2"/>
  <c r="H51" i="2" s="1"/>
  <c r="C52" i="2"/>
  <c r="C53" i="2"/>
  <c r="C54" i="2"/>
  <c r="H54" i="2" s="1"/>
  <c r="C55" i="2"/>
  <c r="C56" i="2"/>
  <c r="H56" i="2" s="1"/>
  <c r="C57" i="2"/>
  <c r="H57" i="2" s="1"/>
  <c r="C58" i="2"/>
  <c r="C59" i="2"/>
  <c r="H59" i="2" s="1"/>
  <c r="C60" i="2"/>
  <c r="H60" i="2" s="1"/>
  <c r="C62" i="2"/>
  <c r="H62" i="2" s="1"/>
  <c r="C63" i="2"/>
  <c r="H63" i="2" s="1"/>
  <c r="C64" i="2"/>
  <c r="H64" i="2" s="1"/>
  <c r="C65" i="2"/>
  <c r="H65" i="2" s="1"/>
  <c r="C66" i="2"/>
  <c r="H66" i="2" s="1"/>
  <c r="C67" i="2"/>
  <c r="H67" i="2" s="1"/>
  <c r="C68" i="2"/>
  <c r="H68" i="2" s="1"/>
  <c r="C69" i="2"/>
  <c r="H69" i="2" s="1"/>
  <c r="C70" i="2"/>
  <c r="H70" i="2" s="1"/>
  <c r="C71" i="2"/>
  <c r="H71" i="2" s="1"/>
  <c r="C72" i="2"/>
  <c r="H72" i="2" s="1"/>
  <c r="C73" i="2"/>
  <c r="H73" i="2" s="1"/>
  <c r="C74" i="2"/>
  <c r="H74" i="2" s="1"/>
  <c r="C75" i="2"/>
  <c r="H75" i="2" s="1"/>
  <c r="C76" i="2"/>
  <c r="H76" i="2" s="1"/>
  <c r="C77" i="2"/>
  <c r="H77" i="2" s="1"/>
  <c r="C78" i="2"/>
  <c r="H78" i="2" s="1"/>
  <c r="C79" i="2"/>
  <c r="H79" i="2" s="1"/>
  <c r="C80" i="2"/>
  <c r="H80" i="2" s="1"/>
  <c r="C81" i="2"/>
  <c r="H81" i="2" s="1"/>
  <c r="C82" i="2"/>
  <c r="H82" i="2" s="1"/>
  <c r="C83" i="2"/>
  <c r="H83" i="2" s="1"/>
  <c r="C84" i="2"/>
  <c r="H84" i="2" s="1"/>
  <c r="C85" i="2"/>
  <c r="H85" i="2" s="1"/>
  <c r="C86" i="2"/>
  <c r="H86" i="2" s="1"/>
  <c r="C89" i="2"/>
  <c r="H89" i="2" s="1"/>
  <c r="C90" i="2"/>
  <c r="H90" i="2" s="1"/>
  <c r="C91" i="2"/>
  <c r="H91" i="2" s="1"/>
  <c r="C92" i="2"/>
  <c r="H92" i="2" s="1"/>
  <c r="C93" i="2"/>
  <c r="H93" i="2" s="1"/>
  <c r="C94" i="2"/>
  <c r="H94" i="2" s="1"/>
  <c r="C95" i="2"/>
  <c r="H95" i="2" s="1"/>
  <c r="C96" i="2"/>
  <c r="H96" i="2" s="1"/>
  <c r="C97" i="2"/>
  <c r="H97" i="2" s="1"/>
  <c r="C98" i="2"/>
  <c r="H98" i="2" s="1"/>
  <c r="C99" i="2"/>
  <c r="H99" i="2" s="1"/>
  <c r="C100" i="2"/>
  <c r="H100" i="2" s="1"/>
  <c r="C101" i="2"/>
  <c r="H101" i="2" s="1"/>
  <c r="C102" i="2"/>
  <c r="C103" i="2"/>
  <c r="H103" i="2" s="1"/>
  <c r="C107" i="2"/>
  <c r="H107" i="2" s="1"/>
  <c r="C108" i="2"/>
  <c r="C109" i="2"/>
  <c r="H109" i="2" s="1"/>
  <c r="C110" i="2"/>
  <c r="H110" i="2" s="1"/>
  <c r="C111" i="2"/>
  <c r="H111" i="2" s="1"/>
  <c r="C113" i="2"/>
  <c r="H113" i="2" s="1"/>
  <c r="C114" i="2"/>
  <c r="H114" i="2" s="1"/>
  <c r="C115" i="2"/>
  <c r="H115" i="2" s="1"/>
  <c r="C116" i="2"/>
  <c r="C117" i="2"/>
  <c r="H117" i="2" s="1"/>
  <c r="C118" i="2"/>
  <c r="H118" i="2" s="1"/>
  <c r="C119" i="2"/>
  <c r="H119" i="2" s="1"/>
  <c r="D5" i="2" l="1"/>
  <c r="H5" i="2"/>
  <c r="C31" i="2"/>
  <c r="H31" i="2" s="1"/>
  <c r="D4" i="2" l="1"/>
  <c r="J5" i="2"/>
  <c r="C21" i="2"/>
  <c r="S88" i="1" l="1"/>
  <c r="C112" i="2"/>
  <c r="H112" i="2" s="1"/>
  <c r="C7" i="2"/>
  <c r="H7" i="2" s="1"/>
  <c r="C14" i="2"/>
  <c r="H14" i="2" s="1"/>
  <c r="C11" i="2"/>
  <c r="H11" i="2" s="1"/>
  <c r="C61" i="2"/>
  <c r="H61" i="2" s="1"/>
  <c r="C88" i="2"/>
  <c r="H88" i="2" s="1"/>
  <c r="C4" i="2"/>
  <c r="H4" i="2" s="1"/>
  <c r="S4" i="1" l="1"/>
  <c r="S5" i="1" s="1"/>
  <c r="C106" i="2"/>
  <c r="H106" i="2" s="1"/>
  <c r="C87" i="2"/>
  <c r="H87" i="2" s="1"/>
  <c r="C16" i="2"/>
  <c r="H16" i="2" s="1"/>
  <c r="S6" i="1"/>
  <c r="S7" i="1" s="1"/>
  <c r="C3" i="2"/>
  <c r="U4" i="1" l="1"/>
  <c r="H3" i="2"/>
  <c r="D3" i="2"/>
  <c r="W5" i="1" l="1"/>
  <c r="V4" i="1"/>
  <c r="C26" i="2"/>
  <c r="C121" i="2"/>
  <c r="H121" i="2" s="1"/>
  <c r="C30" i="2"/>
  <c r="H30" i="2" s="1"/>
  <c r="C27" i="2"/>
  <c r="H27" i="2" l="1"/>
  <c r="J28" i="2"/>
  <c r="J29" i="2"/>
  <c r="J27" i="2"/>
  <c r="C29" i="2"/>
  <c r="H29" i="2" s="1"/>
  <c r="T30" i="1"/>
  <c r="C28" i="2"/>
  <c r="H28" i="2" s="1"/>
  <c r="T29" i="1"/>
  <c r="D26" i="2"/>
  <c r="H26" i="2"/>
</calcChain>
</file>

<file path=xl/sharedStrings.xml><?xml version="1.0" encoding="utf-8"?>
<sst xmlns="http://schemas.openxmlformats.org/spreadsheetml/2006/main" count="939" uniqueCount="273">
  <si>
    <t>1.1</t>
  </si>
  <si>
    <t>1.1.1</t>
  </si>
  <si>
    <t>1.1.2</t>
  </si>
  <si>
    <t>1.2</t>
  </si>
  <si>
    <t>1.2.1</t>
  </si>
  <si>
    <t>1.2.2</t>
  </si>
  <si>
    <t>1.2.3</t>
  </si>
  <si>
    <t>1.3</t>
  </si>
  <si>
    <t>1.3.1</t>
  </si>
  <si>
    <t>1.3.2</t>
  </si>
  <si>
    <t>1.4</t>
  </si>
  <si>
    <t>1.4.1</t>
  </si>
  <si>
    <t>1.5</t>
  </si>
  <si>
    <t>1.5.1</t>
  </si>
  <si>
    <t>1.5.2</t>
  </si>
  <si>
    <t>1.5.3</t>
  </si>
  <si>
    <t>1.5.4</t>
  </si>
  <si>
    <t>Приходи од донации и други извори</t>
  </si>
  <si>
    <t>1.5.5</t>
  </si>
  <si>
    <t>1.5.6</t>
  </si>
  <si>
    <t>1.5.7</t>
  </si>
  <si>
    <t>2</t>
  </si>
  <si>
    <t>2.1</t>
  </si>
  <si>
    <t>2.1.1</t>
  </si>
  <si>
    <t>2.1.2</t>
  </si>
  <si>
    <t>2.1.3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</si>
  <si>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</si>
  <si>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</si>
  <si>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</si>
  <si>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</si>
  <si>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</si>
  <si>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</si>
  <si>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</si>
  <si>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</si>
  <si>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</si>
  <si>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</si>
  <si>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</si>
  <si>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</si>
  <si>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</si>
  <si>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</si>
  <si>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</si>
  <si>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</si>
  <si>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</si>
  <si>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</si>
  <si>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</si>
  <si>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</si>
  <si>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</si>
  <si>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</si>
  <si>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</si>
  <si>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</si>
  <si>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</si>
  <si>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</si>
  <si>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</si>
  <si>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</si>
  <si>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</si>
  <si>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</si>
  <si>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</si>
  <si>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</si>
  <si>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</si>
  <si>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</si>
  <si>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</si>
  <si>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</si>
  <si>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</si>
  <si>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</si>
  <si>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</si>
  <si>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</si>
  <si>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</si>
  <si>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</si>
  <si>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</si>
  <si>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</si>
  <si>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</si>
  <si>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</si>
  <si>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</si>
  <si>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</si>
  <si>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</si>
  <si>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2.3.20</t>
  </si>
  <si>
    <t>2.3.21</t>
  </si>
  <si>
    <t>2.3.22</t>
  </si>
  <si>
    <t>2.3.23</t>
  </si>
  <si>
    <t>2.3.24</t>
  </si>
  <si>
    <t>2.3.25</t>
  </si>
  <si>
    <t>2.4.1.</t>
  </si>
  <si>
    <t>2.4.1.1</t>
  </si>
  <si>
    <t>2.4.1.2</t>
  </si>
  <si>
    <t>2.4.1.3</t>
  </si>
  <si>
    <t>2.4.1.4</t>
  </si>
  <si>
    <t>2.4.1.5</t>
  </si>
  <si>
    <t>2.4.1.6</t>
  </si>
  <si>
    <t>2.4.1.7</t>
  </si>
  <si>
    <t>2.4.1.8</t>
  </si>
  <si>
    <t>2.4.1.9</t>
  </si>
  <si>
    <t>2.4.2</t>
  </si>
  <si>
    <t>2.4.3</t>
  </si>
  <si>
    <t>2.4.4</t>
  </si>
  <si>
    <t>2.4.5</t>
  </si>
  <si>
    <t>2.4.6</t>
  </si>
  <si>
    <t>Пунктирање на брани</t>
  </si>
  <si>
    <t>2.4.7</t>
  </si>
  <si>
    <t>2.4.8</t>
  </si>
  <si>
    <t>2.4.8.1</t>
  </si>
  <si>
    <t>2.4.8.2</t>
  </si>
  <si>
    <t>2.4.8.3</t>
  </si>
  <si>
    <t>2.4.8.4</t>
  </si>
  <si>
    <t>2.4.8.5</t>
  </si>
  <si>
    <t>2.5</t>
  </si>
  <si>
    <t>2.5.1</t>
  </si>
  <si>
    <t>2.5.2</t>
  </si>
  <si>
    <t>Изработка на каскади</t>
  </si>
  <si>
    <t>2.5.3</t>
  </si>
  <si>
    <t>2.5.4</t>
  </si>
  <si>
    <t>Расходи од програма за вода и други програми финансирани од буџет на РМ</t>
  </si>
  <si>
    <t>2.6</t>
  </si>
  <si>
    <t>2.7</t>
  </si>
  <si>
    <t>2.8</t>
  </si>
  <si>
    <t>3</t>
  </si>
  <si>
    <t>1.6</t>
  </si>
  <si>
    <t>2.4.7.1</t>
  </si>
  <si>
    <t>2.4.7.2</t>
  </si>
  <si>
    <t>2.3.19</t>
  </si>
  <si>
    <t>2.4.9</t>
  </si>
  <si>
    <t>2.4</t>
  </si>
  <si>
    <t>2.4.1</t>
  </si>
  <si>
    <t>Ангажирање на механизација за вадење песок</t>
  </si>
  <si>
    <t>трошоци за врдносно усогласување</t>
  </si>
  <si>
    <t>с</t>
  </si>
  <si>
    <t>TË ARDHURA</t>
  </si>
  <si>
    <t>Dërgesa e ujit për ujitje</t>
  </si>
  <si>
    <t xml:space="preserve">Dërgesa e ujit për furnizim me ujë dhe për nevoja industriale </t>
  </si>
  <si>
    <t>Të ardhura nga uji për nevoja industriale (Ujë tehnologjik)</t>
  </si>
  <si>
    <t>Të ardhura nga uji për prodhimin e energjisë elektrike</t>
  </si>
  <si>
    <t>Kullimi I sipërfaqeve</t>
  </si>
  <si>
    <t>Të ardhura nga uji për furnizim me ujë (komunale)</t>
  </si>
  <si>
    <t>Të ardhura nga ujitja e gravituar</t>
  </si>
  <si>
    <t>Të ardhura nga ujitja me pompa</t>
  </si>
  <si>
    <t>Të ardhura nga kullimi I tokës bujqësore</t>
  </si>
  <si>
    <t>Të ardhura nga kullimi I tokës ndërtimore</t>
  </si>
  <si>
    <t xml:space="preserve">Dërgim I ujërave të shkarkuara </t>
  </si>
  <si>
    <t>Të ardhura nga dërgimi I ujërave të shkarkuara</t>
  </si>
  <si>
    <t>Të ardhura tjera</t>
  </si>
  <si>
    <t>Të ardhura nga prodhimi I energjisë elektrike</t>
  </si>
  <si>
    <t>Të ardhura nga qeraja, dividendët etj.</t>
  </si>
  <si>
    <t>Të ardhura nga shitja e rrërrës</t>
  </si>
  <si>
    <t>Të ardhura nga donacionet dhe burime tjera</t>
  </si>
  <si>
    <t>Të ardhura nga programa për ujin dhe programa tjera të finansuara nga buxheti I RM</t>
  </si>
  <si>
    <t>Të ardhura nga pastrimet e kanaleve</t>
  </si>
  <si>
    <t>Programë e investimeve- Të ardhura nga Agjencia për mbështetje financiare të zhvillimit - Ndihmë shtetërore</t>
  </si>
  <si>
    <t>Të ardhura nga rregullimi I vlerës</t>
  </si>
  <si>
    <t>SHPENZIME</t>
  </si>
  <si>
    <t>Paga</t>
  </si>
  <si>
    <t>Të punësuar me OCP (orar të caktuar të punës)</t>
  </si>
  <si>
    <t>Të punësuar me OPP (orar të packtuar të punës)</t>
  </si>
  <si>
    <t>Kompenzime dhe shpenzime tjera të punës</t>
  </si>
  <si>
    <t>Mirëmbajtje të hapësirave të punës</t>
  </si>
  <si>
    <t>Mjete higjienike</t>
  </si>
  <si>
    <t>Materiale për zyrë</t>
  </si>
  <si>
    <t>Shërbime bankare</t>
  </si>
  <si>
    <t>Tonerë</t>
  </si>
  <si>
    <t>Shpenzime tjera për udhëheqje të zyrës</t>
  </si>
  <si>
    <t>Energji elektrike</t>
  </si>
  <si>
    <t>Ujë dhe shërbime komunale</t>
  </si>
  <si>
    <t>Pajisje për mbrojtje gjatë punës (HTZ pajisje)</t>
  </si>
  <si>
    <t>Seminare dhe trajnime profesionale</t>
  </si>
  <si>
    <t>Benzina motorike, karburante dizel dhe gaz I lëngshëm I naftës</t>
  </si>
  <si>
    <t>Vaj ekstra I lehtë për djegije</t>
  </si>
  <si>
    <t>Lubrifikantë dhe vajra</t>
  </si>
  <si>
    <t>Pjesë rezerve për mekanizim dhe automjete motorike</t>
  </si>
  <si>
    <t>Shpenzime për katastër, fletëpronësi, studime dhe elaborate</t>
  </si>
  <si>
    <t>Mëditje për udhëtime zyrtare dhe taksë pagesë rrugore</t>
  </si>
  <si>
    <t>Shpenzime gjyqësore , interes</t>
  </si>
  <si>
    <t>Mirëmbajtje tërastësishme dhe situata të krizës</t>
  </si>
  <si>
    <t>Dru për ngrohje</t>
  </si>
  <si>
    <t>Goma automobilistike dhe goma për mekanizim</t>
  </si>
  <si>
    <t>Popullim me peshq për akumulim</t>
  </si>
  <si>
    <t>Furnizim për IT pajisje</t>
  </si>
  <si>
    <t>Furnizim me automjete</t>
  </si>
  <si>
    <t>Rregullimi I hapsirave të punës</t>
  </si>
  <si>
    <t>Mjete dhe hekurishte</t>
  </si>
  <si>
    <t>Materiale ndërtimore</t>
  </si>
  <si>
    <t>Shërbime</t>
  </si>
  <si>
    <t>Kontrolle teknike të automjetëve</t>
  </si>
  <si>
    <t>Mirëmbajtje preventive dhe adaptuese të softverit</t>
  </si>
  <si>
    <t>Mirëmbajtje dhe riparim të mekanizmit ndërtimorë, automjeteve motorike dhe auto gomave</t>
  </si>
  <si>
    <t>Shërbime telefonike dhe internet (linjë fikse)</t>
  </si>
  <si>
    <t>Shërbime telefonike (linjë celulare)</t>
  </si>
  <si>
    <t>Shërbime postare</t>
  </si>
  <si>
    <t>Sigurimi I pajisjeve, automjeteve dhe objekteve</t>
  </si>
  <si>
    <t>Vlerësimi I rezikut ne vendin e punës dhe mbrojtje dhe sigurim gjatë punës</t>
  </si>
  <si>
    <t>Servisimi I rrufepritësve dhe aparateve për mbrojtjen nga zjarri</t>
  </si>
  <si>
    <t>Shërbime për printim</t>
  </si>
  <si>
    <t>Revizion vjetor I llogarisë përfundimtare</t>
  </si>
  <si>
    <t>Auskultimi I digës dhe elaborate për sigurim teknik</t>
  </si>
  <si>
    <t>Reprezantacione</t>
  </si>
  <si>
    <t>Përpilimi I projekteve bazë, rishikimi I projekteve bazë dhe elaborate</t>
  </si>
  <si>
    <t>Mirëmbajtje të pajisjeve elektrike</t>
  </si>
  <si>
    <t>Shpenzime për shpallje publike, konkurse dhe furnizime publike</t>
  </si>
  <si>
    <t>Shërbime për sigurim dhe monitorim</t>
  </si>
  <si>
    <t>Revizion të projekteve bazë</t>
  </si>
  <si>
    <t>Mirëmbajtje të sistemit kompjuterik</t>
  </si>
  <si>
    <t>Testimi I instalacioneve për ngrohje</t>
  </si>
  <si>
    <t>Testimi I ujit kualitativ</t>
  </si>
  <si>
    <t>Kontrollim sistematik</t>
  </si>
  <si>
    <t>Servisimi I instrumenteve gjeodezike</t>
  </si>
  <si>
    <t>Pastrimi I hapësirave të punës</t>
  </si>
  <si>
    <t>Shpenzime për mirëmbajtje të infrastrukturës</t>
  </si>
  <si>
    <t>Shpenzime, mirëmbajtje të vazhdueshme të sistemit</t>
  </si>
  <si>
    <t>Pastrim manual të rrjetit të kanalit</t>
  </si>
  <si>
    <t>Furnizim I materialeve për mirëmbajtje të sistemeve</t>
  </si>
  <si>
    <t>Përpunimii I hendeqëve të kullimit</t>
  </si>
  <si>
    <t>Riparim I sifonave</t>
  </si>
  <si>
    <t>Riparim I rrugëve shfrytëzuese</t>
  </si>
  <si>
    <t>Riparim I furnizuesit hidraulik të mbyllësit</t>
  </si>
  <si>
    <t>Sanimi i fugave të dëmtuara</t>
  </si>
  <si>
    <t>Punime betonike</t>
  </si>
  <si>
    <t>Hidro izolim të knaleve magjistrale, rikonstruim i ujësjellësit të digës</t>
  </si>
  <si>
    <t>Marje me qira të mekanizimit ndërtimor</t>
  </si>
  <si>
    <t>Sanimi i kurrorës</t>
  </si>
  <si>
    <t xml:space="preserve">Shërbime për mirëmbajtje të sistemit </t>
  </si>
  <si>
    <t>Mirëmbajtje të mbyllësve</t>
  </si>
  <si>
    <t>Pikësimi i digave</t>
  </si>
  <si>
    <t>Elektrifikimi i digave</t>
  </si>
  <si>
    <t>Furnizim dhe montim  të matës uji për tubacionin e furnizimit  të JKPD Komunalec të digës Turija</t>
  </si>
  <si>
    <t>Furnizim të pjesëve rezervë</t>
  </si>
  <si>
    <t>Servisim i ndërprerës i tensionit të lartë</t>
  </si>
  <si>
    <t>Servisim i transformatorëve</t>
  </si>
  <si>
    <t>Shpenzime për mirëmbajtjen dhe regullimëve të lumenjëve dhe përrojëve</t>
  </si>
  <si>
    <t>Përpunim të kaskadave</t>
  </si>
  <si>
    <t>Përpunim të argjinaturave mbrojtëse dhe gambianët</t>
  </si>
  <si>
    <t>Shpenzimet nga  programi për ujë dhe programe tjera finansiare nga buxheti i RM</t>
  </si>
  <si>
    <t>Shpenzime për amortizim</t>
  </si>
  <si>
    <t>Shpenzime të jashtëzakonshme</t>
  </si>
  <si>
    <t>Shpenzime sipas programit të investimit (shpenzime prej МZSHV) (DRZH. Ndihmë)</t>
  </si>
  <si>
    <t>DIFERENCA  TË ARDHURAT  SHPENZIMET</t>
  </si>
  <si>
    <t>Testim dhe mbrojtje</t>
  </si>
  <si>
    <t>Shpenzime, mirëmbajtje të vazhdueshme të stacioneve të pompave</t>
  </si>
  <si>
    <t>Platforma e menaxhimit të të dhënave hapësinore</t>
  </si>
  <si>
    <t>Shërbime intelktuale</t>
  </si>
  <si>
    <t xml:space="preserve">Paisje GPS </t>
  </si>
  <si>
    <t>Furnizim me automjete - Lizing operativ</t>
  </si>
  <si>
    <t>Popullim me peshq për akumulim Prilep</t>
  </si>
  <si>
    <t>Literaturë profesionale</t>
  </si>
  <si>
    <t>Shpenzime materiale</t>
  </si>
  <si>
    <t>Të ardhura të jashtëzakonshme</t>
  </si>
  <si>
    <t>Të ardhura nga uji për furnizim me ujë</t>
  </si>
  <si>
    <t>Planifikm Relativ 2020/2021</t>
  </si>
  <si>
    <t>Gjithësejt</t>
  </si>
  <si>
    <t>Tikvesh</t>
  </si>
  <si>
    <t>Vardari Jugor</t>
  </si>
  <si>
    <t>Drini i Zi</t>
  </si>
  <si>
    <t xml:space="preserve">Popullim me peshq për akumulim </t>
  </si>
  <si>
    <t>Pastrimi në rrjedhën e sipërme, pjerrësia e rrjedhës së poshtme dhe të ujëvarë në një shkarkim të plotë të digave Turija dhe Vodoça</t>
  </si>
  <si>
    <t>Furnizim dhe montim  të matës uji për tubacionin e furnizimit  të JKPD Komunalec të digës Turij</t>
  </si>
  <si>
    <t>Matja e sedimentit në akumulim</t>
  </si>
  <si>
    <t>Angazhim i mekanizmit  për nxjerjen e rrërrës</t>
  </si>
  <si>
    <t>Radovish</t>
  </si>
  <si>
    <t>Pollog</t>
  </si>
  <si>
    <t>Kumanovë</t>
  </si>
  <si>
    <t>Berovë</t>
  </si>
  <si>
    <t>Manastir</t>
  </si>
  <si>
    <t>Shkup</t>
  </si>
  <si>
    <t>Strumicë</t>
  </si>
  <si>
    <t>Bregallnica</t>
  </si>
  <si>
    <t>Prilep</t>
  </si>
  <si>
    <t>Sv.Nikollë</t>
  </si>
  <si>
    <t>Tetovë</t>
  </si>
  <si>
    <t>Direkcion</t>
  </si>
  <si>
    <t>Plan Finansiar për vitin 2021 të NP Ekonomia e ujërave të RMV Shkup</t>
  </si>
  <si>
    <t>Plani për vitin2021</t>
  </si>
  <si>
    <t>Plani për vitin 2020</t>
  </si>
  <si>
    <t>Programi i investimeve - Të ardhurat nga programi për mbeshtetje financiare të zhvillimit rural dhe programi i menaxhimit të ujërave</t>
  </si>
  <si>
    <t xml:space="preserve">                                                           SHA Ekonomia e Ujërave të RMV - Shkup</t>
  </si>
  <si>
    <t xml:space="preserve">                                                                    Drejtor gjeneral ekyekutiv</t>
  </si>
  <si>
    <t xml:space="preserve">                                                                           Vasko Stefanov</t>
  </si>
  <si>
    <t>Përpunoi: Angel Petkov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</si>
</sst>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5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rgb="FF0000FF"/>
      <name val="Arial"/>
      <family val="2"/>
      <charset val="204"/>
    </font>
    <font>
      <sz val="10"/>
      <name val="Arial"/>
      <family val="2"/>
      <charset val="204"/>
    </font>
    <font>
      <b/>
      <sz val="7"/>
      <name val="Arial"/>
      <family val="2"/>
      <charset val="204"/>
    </font>
    <font>
      <sz val="8"/>
      <color indexed="8"/>
      <name val="Arial"/>
      <family val="2"/>
      <charset val="204"/>
    </font>
    <font>
      <sz val="7"/>
      <color rgb="FFFF0000"/>
      <name val="Arial"/>
      <family val="2"/>
      <charset val="204"/>
    </font>
    <font>
      <b/>
      <sz val="7"/>
      <color rgb="FFFF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1"/>
    </font>
    <font>
      <sz val="7"/>
      <color rgb="FFC5000B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1"/>
    </font>
    <font>
      <b/>
      <sz val="11"/>
      <color rgb="FF4F6228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C5000B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rgb="FF0000FF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name val="Arial"/>
      <family val="2"/>
      <charset val="1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204"/>
    </font>
    <font>
      <b/>
      <sz val="8"/>
      <color rgb="FF4F622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rgb="FFCCCCFF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164" fontId="5" fillId="0" borderId="0" applyFill="0" applyBorder="0" applyAlignment="0" applyProtection="0"/>
  </cellStyleXfs>
  <cellXfs count="223"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 wrapText="1"/>
    </xf>
    <xf numFmtId="3" fontId="13" fillId="7" borderId="2" xfId="0" applyNumberFormat="1" applyFont="1" applyFill="1" applyBorder="1" applyAlignment="1" applyProtection="1">
      <alignment vertical="center"/>
      <protection locked="0"/>
    </xf>
    <xf numFmtId="3" fontId="4" fillId="8" borderId="2" xfId="0" applyNumberFormat="1" applyFont="1" applyFill="1" applyBorder="1" applyAlignment="1">
      <alignment vertical="center"/>
    </xf>
    <xf numFmtId="3" fontId="8" fillId="7" borderId="2" xfId="0" applyNumberFormat="1" applyFont="1" applyFill="1" applyBorder="1" applyAlignment="1" applyProtection="1">
      <alignment vertical="center"/>
      <protection locked="0"/>
    </xf>
    <xf numFmtId="3" fontId="2" fillId="2" borderId="2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165" fontId="12" fillId="0" borderId="3" xfId="0" applyNumberFormat="1" applyFont="1" applyBorder="1" applyAlignment="1">
      <alignment horizontal="left" vertical="center"/>
    </xf>
    <xf numFmtId="165" fontId="12" fillId="0" borderId="5" xfId="0" applyNumberFormat="1" applyFont="1" applyBorder="1" applyAlignment="1">
      <alignment horizontal="left" vertical="center"/>
    </xf>
    <xf numFmtId="165" fontId="1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0" xfId="0" applyFont="1"/>
    <xf numFmtId="0" fontId="16" fillId="0" borderId="2" xfId="0" applyFont="1" applyBorder="1" applyAlignment="1">
      <alignment wrapText="1" shrinkToFi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3" fontId="17" fillId="0" borderId="2" xfId="0" applyNumberFormat="1" applyFont="1" applyBorder="1" applyAlignment="1">
      <alignment vertical="center"/>
    </xf>
    <xf numFmtId="3" fontId="18" fillId="3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 shrinkToFit="1"/>
    </xf>
    <xf numFmtId="0" fontId="23" fillId="10" borderId="2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4" borderId="2" xfId="0" applyFont="1" applyFill="1" applyBorder="1" applyAlignment="1">
      <alignment horizontal="left" vertical="center" wrapText="1" shrinkToFit="1"/>
    </xf>
    <xf numFmtId="0" fontId="20" fillId="4" borderId="1" xfId="0" applyFont="1" applyFill="1" applyBorder="1" applyAlignment="1">
      <alignment horizontal="left" vertical="center" wrapText="1" shrinkToFit="1"/>
    </xf>
    <xf numFmtId="49" fontId="16" fillId="2" borderId="1" xfId="0" applyNumberFormat="1" applyFont="1" applyFill="1" applyBorder="1" applyAlignment="1">
      <alignment vertical="center" wrapText="1"/>
    </xf>
    <xf numFmtId="165" fontId="21" fillId="0" borderId="4" xfId="0" applyNumberFormat="1" applyFont="1" applyBorder="1" applyAlignment="1">
      <alignment vertical="center" wrapText="1"/>
    </xf>
    <xf numFmtId="165" fontId="18" fillId="5" borderId="2" xfId="0" applyNumberFormat="1" applyFont="1" applyFill="1" applyBorder="1" applyAlignment="1">
      <alignment vertical="center" wrapText="1"/>
    </xf>
    <xf numFmtId="165" fontId="22" fillId="0" borderId="1" xfId="0" applyNumberFormat="1" applyFont="1" applyBorder="1" applyAlignment="1">
      <alignment vertical="center" wrapText="1"/>
    </xf>
    <xf numFmtId="165" fontId="22" fillId="0" borderId="2" xfId="0" applyNumberFormat="1" applyFont="1" applyBorder="1" applyAlignment="1">
      <alignment vertical="center" wrapText="1"/>
    </xf>
    <xf numFmtId="165" fontId="16" fillId="0" borderId="2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165" fontId="16" fillId="0" borderId="0" xfId="0" applyNumberFormat="1" applyFont="1" applyAlignment="1">
      <alignment vertical="center" wrapText="1"/>
    </xf>
    <xf numFmtId="165" fontId="19" fillId="0" borderId="2" xfId="0" applyNumberFormat="1" applyFont="1" applyBorder="1" applyAlignment="1">
      <alignment vertical="center" wrapText="1"/>
    </xf>
    <xf numFmtId="165" fontId="20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 shrinkToFit="1"/>
    </xf>
    <xf numFmtId="165" fontId="18" fillId="5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8" fillId="4" borderId="2" xfId="0" applyNumberFormat="1" applyFont="1" applyFill="1" applyBorder="1" applyAlignment="1">
      <alignment vertical="center" wrapText="1"/>
    </xf>
    <xf numFmtId="165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165" fontId="16" fillId="7" borderId="2" xfId="0" applyNumberFormat="1" applyFont="1" applyFill="1" applyBorder="1" applyAlignment="1" applyProtection="1">
      <alignment vertical="center" wrapText="1"/>
      <protection locked="0"/>
    </xf>
    <xf numFmtId="165" fontId="18" fillId="9" borderId="2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vertical="center" wrapText="1" shrinkToFit="1"/>
    </xf>
    <xf numFmtId="165" fontId="16" fillId="6" borderId="2" xfId="0" applyNumberFormat="1" applyFont="1" applyFill="1" applyBorder="1" applyAlignment="1">
      <alignment horizontal="left" vertical="center" wrapText="1"/>
    </xf>
    <xf numFmtId="165" fontId="16" fillId="0" borderId="0" xfId="0" applyNumberFormat="1" applyFont="1" applyAlignment="1">
      <alignment horizontal="left" vertical="center" wrapText="1"/>
    </xf>
    <xf numFmtId="165" fontId="22" fillId="0" borderId="2" xfId="0" applyNumberFormat="1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6" fillId="4" borderId="2" xfId="0" applyNumberFormat="1" applyFont="1" applyFill="1" applyBorder="1" applyAlignment="1">
      <alignment vertical="center"/>
    </xf>
    <xf numFmtId="3" fontId="20" fillId="4" borderId="2" xfId="0" applyNumberFormat="1" applyFont="1" applyFill="1" applyBorder="1" applyAlignment="1">
      <alignment vertical="center"/>
    </xf>
    <xf numFmtId="3" fontId="24" fillId="4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vertical="center"/>
    </xf>
    <xf numFmtId="3" fontId="21" fillId="0" borderId="2" xfId="0" applyNumberFormat="1" applyFont="1" applyBorder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3" fontId="25" fillId="0" borderId="2" xfId="0" applyNumberFormat="1" applyFont="1" applyBorder="1" applyAlignment="1">
      <alignment vertical="center"/>
    </xf>
    <xf numFmtId="3" fontId="18" fillId="0" borderId="2" xfId="0" applyNumberFormat="1" applyFont="1" applyBorder="1" applyAlignment="1">
      <alignment horizontal="center" vertical="center"/>
    </xf>
    <xf numFmtId="3" fontId="16" fillId="7" borderId="2" xfId="0" applyNumberFormat="1" applyFont="1" applyFill="1" applyBorder="1" applyAlignment="1" applyProtection="1">
      <alignment vertical="center"/>
      <protection locked="0"/>
    </xf>
    <xf numFmtId="3" fontId="25" fillId="7" borderId="2" xfId="0" applyNumberFormat="1" applyFont="1" applyFill="1" applyBorder="1" applyAlignment="1" applyProtection="1">
      <alignment vertical="center"/>
      <protection locked="0"/>
    </xf>
    <xf numFmtId="3" fontId="19" fillId="7" borderId="2" xfId="0" applyNumberFormat="1" applyFont="1" applyFill="1" applyBorder="1" applyAlignment="1" applyProtection="1">
      <alignment vertical="center"/>
      <protection locked="0"/>
    </xf>
    <xf numFmtId="3" fontId="26" fillId="9" borderId="2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vertical="center"/>
    </xf>
    <xf numFmtId="3" fontId="0" fillId="0" borderId="0" xfId="0" applyNumberFormat="1"/>
    <xf numFmtId="3" fontId="5" fillId="0" borderId="2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29" fillId="4" borderId="2" xfId="0" applyNumberFormat="1" applyFont="1" applyFill="1" applyBorder="1" applyAlignment="1">
      <alignment vertical="center"/>
    </xf>
    <xf numFmtId="3" fontId="30" fillId="4" borderId="1" xfId="0" applyNumberFormat="1" applyFont="1" applyFill="1" applyBorder="1" applyAlignment="1">
      <alignment vertical="center"/>
    </xf>
    <xf numFmtId="3" fontId="2" fillId="7" borderId="2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vertical="center"/>
    </xf>
    <xf numFmtId="0" fontId="31" fillId="11" borderId="2" xfId="0" applyFont="1" applyFill="1" applyBorder="1" applyAlignment="1">
      <alignment horizontal="left" vertical="center" wrapText="1" indent="2"/>
    </xf>
    <xf numFmtId="0" fontId="31" fillId="11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shrinkToFit="1"/>
    </xf>
    <xf numFmtId="165" fontId="22" fillId="0" borderId="1" xfId="0" applyNumberFormat="1" applyFont="1" applyBorder="1" applyAlignment="1">
      <alignment vertical="center"/>
    </xf>
    <xf numFmtId="0" fontId="0" fillId="0" borderId="0" xfId="0" applyFont="1" applyAlignment="1"/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1" xfId="0" applyFont="1" applyBorder="1" applyAlignment="1">
      <alignment wrapText="1" shrinkToFit="1"/>
    </xf>
    <xf numFmtId="0" fontId="17" fillId="0" borderId="1" xfId="0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4" borderId="1" xfId="0" applyFont="1" applyFill="1" applyBorder="1" applyAlignment="1">
      <alignment horizontal="left" vertical="center" shrinkToFit="1"/>
    </xf>
    <xf numFmtId="165" fontId="21" fillId="0" borderId="6" xfId="0" applyNumberFormat="1" applyFont="1" applyBorder="1" applyAlignment="1">
      <alignment vertical="center"/>
    </xf>
    <xf numFmtId="165" fontId="18" fillId="5" borderId="1" xfId="0" applyNumberFormat="1" applyFont="1" applyFill="1" applyBorder="1" applyAlignment="1">
      <alignment vertical="center"/>
    </xf>
    <xf numFmtId="165" fontId="16" fillId="0" borderId="1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shrinkToFit="1"/>
    </xf>
    <xf numFmtId="165" fontId="18" fillId="5" borderId="1" xfId="0" applyNumberFormat="1" applyFont="1" applyFill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165" fontId="16" fillId="6" borderId="1" xfId="0" applyNumberFormat="1" applyFont="1" applyFill="1" applyBorder="1" applyAlignment="1">
      <alignment horizontal="left" vertical="center"/>
    </xf>
    <xf numFmtId="165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5" fontId="18" fillId="4" borderId="1" xfId="0" applyNumberFormat="1" applyFont="1" applyFill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1" fillId="11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 applyProtection="1">
      <alignment vertical="center"/>
      <protection locked="0"/>
    </xf>
    <xf numFmtId="165" fontId="18" fillId="9" borderId="1" xfId="0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shrinkToFit="1"/>
    </xf>
    <xf numFmtId="0" fontId="23" fillId="10" borderId="1" xfId="0" applyFont="1" applyFill="1" applyBorder="1" applyAlignment="1">
      <alignment vertical="center"/>
    </xf>
    <xf numFmtId="0" fontId="0" fillId="0" borderId="2" xfId="0" applyBorder="1"/>
    <xf numFmtId="3" fontId="0" fillId="0" borderId="2" xfId="0" applyNumberFormat="1" applyBorder="1"/>
    <xf numFmtId="0" fontId="32" fillId="0" borderId="0" xfId="0" applyFont="1" applyAlignment="1">
      <alignment wrapText="1"/>
    </xf>
    <xf numFmtId="3" fontId="18" fillId="3" borderId="7" xfId="0" applyNumberFormat="1" applyFont="1" applyFill="1" applyBorder="1" applyAlignment="1">
      <alignment vertical="center"/>
    </xf>
    <xf numFmtId="49" fontId="12" fillId="0" borderId="5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 shrinkToFit="1"/>
    </xf>
    <xf numFmtId="0" fontId="34" fillId="3" borderId="2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1" fillId="4" borderId="2" xfId="0" applyFont="1" applyFill="1" applyBorder="1" applyAlignment="1">
      <alignment horizontal="left" vertical="center" wrapText="1" shrinkToFit="1"/>
    </xf>
    <xf numFmtId="165" fontId="35" fillId="0" borderId="4" xfId="0" applyNumberFormat="1" applyFont="1" applyBorder="1" applyAlignment="1">
      <alignment vertical="center"/>
    </xf>
    <xf numFmtId="165" fontId="27" fillId="5" borderId="2" xfId="0" applyNumberFormat="1" applyFont="1" applyFill="1" applyBorder="1" applyAlignment="1">
      <alignment vertical="center"/>
    </xf>
    <xf numFmtId="165" fontId="36" fillId="0" borderId="1" xfId="0" applyNumberFormat="1" applyFont="1" applyBorder="1" applyAlignment="1">
      <alignment vertical="center"/>
    </xf>
    <xf numFmtId="165" fontId="36" fillId="0" borderId="2" xfId="0" applyNumberFormat="1" applyFont="1" applyBorder="1" applyAlignment="1">
      <alignment vertical="center"/>
    </xf>
    <xf numFmtId="165" fontId="37" fillId="0" borderId="2" xfId="0" applyNumberFormat="1" applyFont="1" applyBorder="1" applyAlignment="1">
      <alignment vertical="center"/>
    </xf>
    <xf numFmtId="165" fontId="37" fillId="0" borderId="2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38" fillId="0" borderId="2" xfId="0" applyNumberFormat="1" applyFont="1" applyBorder="1" applyAlignment="1">
      <alignment vertical="center" wrapText="1"/>
    </xf>
    <xf numFmtId="165" fontId="39" fillId="0" borderId="2" xfId="0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 shrinkToFit="1"/>
    </xf>
    <xf numFmtId="165" fontId="27" fillId="5" borderId="2" xfId="0" applyNumberFormat="1" applyFont="1" applyFill="1" applyBorder="1" applyAlignment="1">
      <alignment horizontal="left" vertical="center" indent="1"/>
    </xf>
    <xf numFmtId="165" fontId="37" fillId="0" borderId="2" xfId="0" applyNumberFormat="1" applyFont="1" applyBorder="1" applyAlignment="1">
      <alignment horizontal="left" vertical="center" wrapText="1"/>
    </xf>
    <xf numFmtId="165" fontId="38" fillId="6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40" fillId="0" borderId="5" xfId="0" applyNumberFormat="1" applyFont="1" applyBorder="1" applyAlignment="1">
      <alignment horizontal="left" vertical="center"/>
    </xf>
    <xf numFmtId="165" fontId="41" fillId="0" borderId="2" xfId="0" applyNumberFormat="1" applyFont="1" applyBorder="1" applyAlignment="1">
      <alignment horizontal="left" vertical="center" wrapText="1"/>
    </xf>
    <xf numFmtId="165" fontId="38" fillId="0" borderId="2" xfId="0" applyNumberFormat="1" applyFont="1" applyBorder="1" applyAlignment="1">
      <alignment horizontal="left" vertical="center" wrapText="1"/>
    </xf>
    <xf numFmtId="165" fontId="28" fillId="0" borderId="0" xfId="0" applyNumberFormat="1" applyFont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165" fontId="27" fillId="5" borderId="2" xfId="0" applyNumberFormat="1" applyFont="1" applyFill="1" applyBorder="1" applyAlignment="1">
      <alignment vertical="center" wrapText="1"/>
    </xf>
    <xf numFmtId="165" fontId="42" fillId="4" borderId="2" xfId="0" applyNumberFormat="1" applyFont="1" applyFill="1" applyBorder="1" applyAlignment="1">
      <alignment vertical="center" wrapText="1"/>
    </xf>
    <xf numFmtId="165" fontId="36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0" fontId="42" fillId="0" borderId="2" xfId="0" applyFont="1" applyBorder="1" applyAlignment="1">
      <alignment horizontal="left" vertical="center" wrapText="1"/>
    </xf>
    <xf numFmtId="0" fontId="42" fillId="4" borderId="2" xfId="0" applyFont="1" applyFill="1" applyBorder="1" applyAlignment="1">
      <alignment horizontal="left" vertical="center" wrapText="1"/>
    </xf>
    <xf numFmtId="165" fontId="5" fillId="7" borderId="2" xfId="0" applyNumberFormat="1" applyFont="1" applyFill="1" applyBorder="1" applyAlignment="1" applyProtection="1">
      <alignment vertical="center" wrapText="1"/>
      <protection locked="0"/>
    </xf>
    <xf numFmtId="165" fontId="27" fillId="9" borderId="2" xfId="0" applyNumberFormat="1" applyFont="1" applyFill="1" applyBorder="1" applyAlignment="1">
      <alignment vertical="center"/>
    </xf>
    <xf numFmtId="165" fontId="42" fillId="9" borderId="2" xfId="0" applyNumberFormat="1" applyFont="1" applyFill="1" applyBorder="1" applyAlignment="1">
      <alignment vertical="center"/>
    </xf>
    <xf numFmtId="0" fontId="42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 shrinkToFit="1"/>
    </xf>
    <xf numFmtId="0" fontId="43" fillId="10" borderId="2" xfId="0" applyFont="1" applyFill="1" applyBorder="1" applyAlignment="1">
      <alignment vertical="center" wrapText="1"/>
    </xf>
    <xf numFmtId="14" fontId="1" fillId="0" borderId="9" xfId="0" applyNumberFormat="1" applyFont="1" applyBorder="1" applyAlignment="1">
      <alignment horizontal="left"/>
    </xf>
    <xf numFmtId="0" fontId="37" fillId="0" borderId="9" xfId="0" applyFont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/>
    </xf>
    <xf numFmtId="0" fontId="37" fillId="0" borderId="10" xfId="0" applyFont="1" applyBorder="1" applyAlignment="1">
      <alignment horizontal="left" vertical="center" wrapText="1"/>
    </xf>
    <xf numFmtId="4" fontId="0" fillId="0" borderId="0" xfId="0" applyNumberFormat="1"/>
    <xf numFmtId="0" fontId="44" fillId="0" borderId="0" xfId="0" applyFont="1"/>
    <xf numFmtId="3" fontId="44" fillId="0" borderId="2" xfId="0" applyNumberFormat="1" applyFont="1" applyBorder="1"/>
    <xf numFmtId="3" fontId="2" fillId="12" borderId="2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5" fillId="13" borderId="11" xfId="0" applyNumberFormat="1" applyFont="1" applyFill="1" applyBorder="1" applyAlignment="1">
      <alignment vertical="center"/>
    </xf>
    <xf numFmtId="3" fontId="21" fillId="3" borderId="2" xfId="0" applyNumberFormat="1" applyFont="1" applyFill="1" applyBorder="1" applyAlignment="1">
      <alignment vertical="center"/>
    </xf>
    <xf numFmtId="3" fontId="32" fillId="0" borderId="2" xfId="0" applyNumberFormat="1" applyFont="1" applyBorder="1"/>
    <xf numFmtId="0" fontId="18" fillId="3" borderId="1" xfId="0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4" borderId="1" xfId="0" applyFont="1" applyFill="1" applyBorder="1" applyAlignment="1">
      <alignment horizontal="left" vertical="center" wrapText="1" shrinkToFit="1"/>
    </xf>
    <xf numFmtId="165" fontId="21" fillId="0" borderId="6" xfId="0" applyNumberFormat="1" applyFont="1" applyBorder="1" applyAlignment="1">
      <alignment vertical="center" wrapText="1"/>
    </xf>
    <xf numFmtId="165" fontId="18" fillId="5" borderId="1" xfId="0" applyNumberFormat="1" applyFont="1" applyFill="1" applyBorder="1" applyAlignment="1">
      <alignment vertical="center" wrapText="1"/>
    </xf>
    <xf numFmtId="165" fontId="16" fillId="0" borderId="1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 wrapText="1"/>
    </xf>
    <xf numFmtId="165" fontId="1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 shrinkToFit="1"/>
    </xf>
    <xf numFmtId="165" fontId="18" fillId="5" borderId="1" xfId="0" applyNumberFormat="1" applyFont="1" applyFill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left" vertical="center" wrapText="1"/>
    </xf>
    <xf numFmtId="165" fontId="16" fillId="6" borderId="1" xfId="0" applyNumberFormat="1" applyFont="1" applyFill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5" fontId="18" fillId="4" borderId="1" xfId="0" applyNumberFormat="1" applyFont="1" applyFill="1" applyBorder="1" applyAlignment="1">
      <alignment vertical="center" wrapText="1"/>
    </xf>
    <xf numFmtId="165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165" fontId="16" fillId="7" borderId="1" xfId="0" applyNumberFormat="1" applyFont="1" applyFill="1" applyBorder="1" applyAlignment="1" applyProtection="1">
      <alignment vertical="center" wrapText="1"/>
      <protection locked="0"/>
    </xf>
    <xf numFmtId="165" fontId="18" fillId="9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 shrinkToFit="1"/>
    </xf>
    <xf numFmtId="0" fontId="0" fillId="0" borderId="2" xfId="0" applyBorder="1" applyAlignment="1">
      <alignment horizontal="center"/>
    </xf>
    <xf numFmtId="165" fontId="1" fillId="0" borderId="2" xfId="0" applyNumberFormat="1" applyFont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46" fillId="0" borderId="0" xfId="0" applyFont="1"/>
    <xf numFmtId="0" fontId="47" fillId="0" borderId="0" xfId="0" applyFont="1"/>
    <xf numFmtId="165" fontId="12" fillId="0" borderId="13" xfId="0" applyNumberFormat="1" applyFont="1" applyBorder="1" applyAlignment="1">
      <alignment horizontal="left" vertical="center"/>
    </xf>
    <xf numFmtId="165" fontId="16" fillId="0" borderId="14" xfId="0" applyNumberFormat="1" applyFont="1" applyBorder="1" applyAlignment="1">
      <alignment vertical="center" wrapText="1"/>
    </xf>
    <xf numFmtId="3" fontId="0" fillId="0" borderId="9" xfId="0" applyNumberFormat="1" applyBorder="1"/>
    <xf numFmtId="165" fontId="12" fillId="0" borderId="15" xfId="0" applyNumberFormat="1" applyFont="1" applyBorder="1" applyAlignment="1">
      <alignment horizontal="left" vertical="center"/>
    </xf>
    <xf numFmtId="165" fontId="16" fillId="0" borderId="16" xfId="0" applyNumberFormat="1" applyFont="1" applyBorder="1" applyAlignment="1">
      <alignment vertical="center" wrapText="1"/>
    </xf>
    <xf numFmtId="3" fontId="0" fillId="0" borderId="10" xfId="0" applyNumberFormat="1" applyBorder="1"/>
    <xf numFmtId="165" fontId="12" fillId="0" borderId="12" xfId="0" applyNumberFormat="1" applyFont="1" applyBorder="1" applyAlignment="1">
      <alignment horizontal="left" vertical="center"/>
    </xf>
    <xf numFmtId="0" fontId="16" fillId="0" borderId="17" xfId="0" applyFont="1" applyBorder="1" applyAlignment="1">
      <alignment wrapText="1"/>
    </xf>
    <xf numFmtId="3" fontId="0" fillId="0" borderId="18" xfId="0" applyNumberFormat="1" applyBorder="1"/>
    <xf numFmtId="49" fontId="49" fillId="0" borderId="1" xfId="0" applyNumberFormat="1" applyFont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 wrapText="1" shrinkToFit="1"/>
    </xf>
    <xf numFmtId="3" fontId="50" fillId="0" borderId="2" xfId="0" applyNumberFormat="1" applyFont="1" applyBorder="1"/>
    <xf numFmtId="3" fontId="48" fillId="0" borderId="2" xfId="0" applyNumberFormat="1" applyFont="1" applyBorder="1"/>
    <xf numFmtId="0" fontId="31" fillId="11" borderId="1" xfId="0" applyFont="1" applyFill="1" applyBorder="1" applyAlignment="1">
      <alignment horizontal="center" vertical="center" wrapText="1"/>
    </xf>
  </cellXfs>
  <cellStyles count="7">
    <cellStyle name="Comma 2" xfId="6"/>
    <cellStyle name="Excel Built-in Excel Built-in Normal" xfId="4"/>
    <cellStyle name="Excel Built-in Normal" xfId="1"/>
    <cellStyle name="Excel Built-in Normal 1" xfId="5"/>
    <cellStyle name="Normal" xfId="0" builtinId="0"/>
    <cellStyle name="Normal 6" xfId="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zoomScale="110" zoomScaleNormal="110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 activeCell="B2" sqref="B2"/>
    </sheetView>
  </sheetViews>
  <sheetFormatPr defaultRowHeight="15" x14ac:dyDescent="0.25"/>
  <cols>
    <col min="1" max="1" width="6.5703125" customWidth="1"/>
    <col min="2" max="2" width="54.5703125" customWidth="1"/>
    <col min="3" max="3" width="14.7109375" customWidth="1"/>
    <col min="4" max="4" width="16.5703125" customWidth="1"/>
    <col min="5" max="5" width="16.85546875" customWidth="1"/>
    <col min="6" max="6" width="15.140625" customWidth="1"/>
    <col min="7" max="7" width="15.42578125" customWidth="1"/>
    <col min="8" max="8" width="15" customWidth="1"/>
    <col min="9" max="10" width="14.7109375" customWidth="1"/>
    <col min="11" max="11" width="12.5703125" customWidth="1"/>
    <col min="12" max="13" width="12.7109375" customWidth="1"/>
    <col min="14" max="14" width="12.42578125" customWidth="1"/>
    <col min="15" max="15" width="12.28515625" customWidth="1"/>
    <col min="16" max="16" width="12.7109375" customWidth="1"/>
    <col min="17" max="17" width="11.5703125" customWidth="1"/>
    <col min="18" max="18" width="14.7109375" customWidth="1"/>
    <col min="19" max="19" width="12.7109375" bestFit="1" customWidth="1"/>
    <col min="20" max="20" width="10.28515625" bestFit="1" customWidth="1"/>
    <col min="21" max="21" width="14" customWidth="1"/>
    <col min="22" max="22" width="11.5703125" customWidth="1"/>
    <col min="23" max="23" width="10.28515625" bestFit="1" customWidth="1"/>
  </cols>
  <sheetData>
    <row r="1" spans="1:23" x14ac:dyDescent="0.25">
      <c r="C1" s="86"/>
    </row>
    <row r="2" spans="1:23" x14ac:dyDescent="0.25">
      <c r="A2" s="1"/>
      <c r="B2" s="32" t="s">
        <v>265</v>
      </c>
      <c r="C2" s="3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3" x14ac:dyDescent="0.25">
      <c r="A3" s="1"/>
      <c r="B3" s="33"/>
      <c r="C3" s="34" t="s">
        <v>244</v>
      </c>
      <c r="D3" s="3" t="s">
        <v>245</v>
      </c>
      <c r="E3" s="3" t="s">
        <v>246</v>
      </c>
      <c r="F3" s="3" t="s">
        <v>247</v>
      </c>
      <c r="G3" s="3" t="s">
        <v>253</v>
      </c>
      <c r="H3" s="3" t="s">
        <v>254</v>
      </c>
      <c r="I3" s="3" t="s">
        <v>255</v>
      </c>
      <c r="J3" s="3" t="s">
        <v>256</v>
      </c>
      <c r="K3" s="3" t="s">
        <v>257</v>
      </c>
      <c r="L3" s="3" t="s">
        <v>258</v>
      </c>
      <c r="M3" s="3" t="s">
        <v>259</v>
      </c>
      <c r="N3" s="3" t="s">
        <v>260</v>
      </c>
      <c r="O3" s="3" t="s">
        <v>261</v>
      </c>
      <c r="P3" s="3" t="s">
        <v>262</v>
      </c>
      <c r="Q3" s="3" t="s">
        <v>263</v>
      </c>
      <c r="R3" s="3" t="s">
        <v>264</v>
      </c>
    </row>
    <row r="4" spans="1:23" x14ac:dyDescent="0.25">
      <c r="A4" s="18">
        <v>1</v>
      </c>
      <c r="B4" s="35" t="s">
        <v>125</v>
      </c>
      <c r="C4" s="37">
        <f>D4+E4+F4+G4+H4+I4+J4+K4+L4+M4+N4+O4+P4+Q4+R4</f>
        <v>696038178</v>
      </c>
      <c r="D4" s="36">
        <f>D5+D8+D12+D15+D17+D25</f>
        <v>114662277</v>
      </c>
      <c r="E4" s="36">
        <f t="shared" ref="E4:R4" si="0">E5+E8+E12+E15+E17+E25</f>
        <v>23410931</v>
      </c>
      <c r="F4" s="36">
        <f t="shared" si="0"/>
        <v>12700000</v>
      </c>
      <c r="G4" s="36">
        <f t="shared" si="0"/>
        <v>14954435</v>
      </c>
      <c r="H4" s="36">
        <f t="shared" si="0"/>
        <v>9944640</v>
      </c>
      <c r="I4" s="36">
        <f t="shared" si="0"/>
        <v>35200000</v>
      </c>
      <c r="J4" s="36">
        <f t="shared" si="0"/>
        <v>8127600</v>
      </c>
      <c r="K4" s="36">
        <f t="shared" si="0"/>
        <v>24129908</v>
      </c>
      <c r="L4" s="36">
        <f t="shared" si="0"/>
        <v>40896000</v>
      </c>
      <c r="M4" s="36">
        <f t="shared" si="0"/>
        <v>103981650</v>
      </c>
      <c r="N4" s="36">
        <f t="shared" si="0"/>
        <v>48171906</v>
      </c>
      <c r="O4" s="36">
        <f t="shared" si="0"/>
        <v>25822933</v>
      </c>
      <c r="P4" s="36">
        <f t="shared" si="0"/>
        <v>74357084</v>
      </c>
      <c r="Q4" s="36">
        <f t="shared" si="0"/>
        <v>8400000</v>
      </c>
      <c r="R4" s="36">
        <f t="shared" si="0"/>
        <v>151278814</v>
      </c>
      <c r="S4" s="86">
        <f>C5+C8+C12+C15+C17+C25</f>
        <v>696038178</v>
      </c>
      <c r="U4" s="86">
        <f>C27</f>
        <v>694518816</v>
      </c>
      <c r="V4">
        <f>U4/C4*100</f>
        <v>99.781712835872625</v>
      </c>
      <c r="W4">
        <f>C4*12/100+C4</f>
        <v>779562759.36000001</v>
      </c>
    </row>
    <row r="5" spans="1:23" x14ac:dyDescent="0.25">
      <c r="A5" s="18" t="s">
        <v>0</v>
      </c>
      <c r="B5" s="41" t="s">
        <v>126</v>
      </c>
      <c r="C5" s="37">
        <f t="shared" ref="C5:C68" si="1">D5+E5+F5+G5+H5+I5+J5+K5+L5+M5+N5+O5+P5+Q5+R5</f>
        <v>233541389</v>
      </c>
      <c r="D5" s="37">
        <f>D6+D7</f>
        <v>79800000</v>
      </c>
      <c r="E5" s="37">
        <f t="shared" ref="E5:R5" si="2">E6+E7</f>
        <v>10200000</v>
      </c>
      <c r="F5" s="37">
        <f t="shared" si="2"/>
        <v>5500000</v>
      </c>
      <c r="G5" s="37">
        <f t="shared" si="2"/>
        <v>8913235</v>
      </c>
      <c r="H5" s="37">
        <f t="shared" si="2"/>
        <v>3200000</v>
      </c>
      <c r="I5" s="37">
        <f t="shared" si="2"/>
        <v>4800000</v>
      </c>
      <c r="J5" s="37">
        <f t="shared" si="2"/>
        <v>470000</v>
      </c>
      <c r="K5" s="37">
        <f t="shared" si="2"/>
        <v>0</v>
      </c>
      <c r="L5" s="37">
        <f t="shared" si="2"/>
        <v>1200000</v>
      </c>
      <c r="M5" s="37">
        <f t="shared" si="2"/>
        <v>26550000</v>
      </c>
      <c r="N5" s="37">
        <f t="shared" si="2"/>
        <v>41967354</v>
      </c>
      <c r="O5" s="37">
        <f t="shared" si="2"/>
        <v>10600000</v>
      </c>
      <c r="P5" s="37">
        <f t="shared" si="2"/>
        <v>36740800</v>
      </c>
      <c r="Q5" s="37">
        <f t="shared" si="2"/>
        <v>3600000</v>
      </c>
      <c r="R5" s="37">
        <f t="shared" si="2"/>
        <v>0</v>
      </c>
      <c r="S5" s="86">
        <f>C4-S4</f>
        <v>0</v>
      </c>
      <c r="W5" s="86">
        <f>W4-U4</f>
        <v>85043943.360000014</v>
      </c>
    </row>
    <row r="6" spans="1:23" x14ac:dyDescent="0.25">
      <c r="A6" s="18" t="s">
        <v>1</v>
      </c>
      <c r="B6" s="42" t="s">
        <v>132</v>
      </c>
      <c r="C6" s="37">
        <f t="shared" si="1"/>
        <v>195241389</v>
      </c>
      <c r="D6" s="5">
        <f>39000000+12000000</f>
        <v>51000000</v>
      </c>
      <c r="E6" s="5">
        <v>2200000</v>
      </c>
      <c r="F6" s="87">
        <f>3000000+1000000</f>
        <v>4000000</v>
      </c>
      <c r="G6" s="5">
        <f>7913235+1000000</f>
        <v>8913235</v>
      </c>
      <c r="H6" s="5">
        <v>3200000</v>
      </c>
      <c r="I6" s="5">
        <f>4300000+500000</f>
        <v>4800000</v>
      </c>
      <c r="J6" s="5">
        <v>470000</v>
      </c>
      <c r="K6" s="5">
        <v>0</v>
      </c>
      <c r="L6" s="5">
        <v>1200000</v>
      </c>
      <c r="M6" s="6">
        <f>15750000+10800000</f>
        <v>26550000</v>
      </c>
      <c r="N6" s="5">
        <f>37367354+4000000+600000</f>
        <v>41967354</v>
      </c>
      <c r="O6" s="70">
        <f>9600000+1000000</f>
        <v>10600000</v>
      </c>
      <c r="P6" s="5">
        <f>28740800+8000000</f>
        <v>36740800</v>
      </c>
      <c r="Q6" s="4">
        <v>3600000</v>
      </c>
      <c r="R6" s="5"/>
      <c r="S6" s="86">
        <f>C5+C8+C12+C15+C17+C25</f>
        <v>696038178</v>
      </c>
    </row>
    <row r="7" spans="1:23" x14ac:dyDescent="0.25">
      <c r="A7" s="18" t="s">
        <v>2</v>
      </c>
      <c r="B7" s="42" t="s">
        <v>133</v>
      </c>
      <c r="C7" s="37">
        <f t="shared" si="1"/>
        <v>38300000</v>
      </c>
      <c r="D7" s="5">
        <f>26000000+2800000</f>
        <v>28800000</v>
      </c>
      <c r="E7" s="5">
        <f>7500000+500000</f>
        <v>8000000</v>
      </c>
      <c r="F7" s="87">
        <f>1200000+300000</f>
        <v>1500000</v>
      </c>
      <c r="G7" s="5">
        <v>0</v>
      </c>
      <c r="H7" s="5"/>
      <c r="I7" s="5"/>
      <c r="J7" s="5">
        <v>0</v>
      </c>
      <c r="K7" s="5">
        <v>0</v>
      </c>
      <c r="L7" s="5"/>
      <c r="M7" s="6">
        <v>0</v>
      </c>
      <c r="N7" s="5"/>
      <c r="O7" s="70"/>
      <c r="P7" s="5">
        <v>0</v>
      </c>
      <c r="Q7" s="4"/>
      <c r="R7" s="5"/>
      <c r="S7" s="86">
        <f>C4-S6</f>
        <v>0</v>
      </c>
    </row>
    <row r="8" spans="1:23" ht="30" x14ac:dyDescent="0.25">
      <c r="A8" s="18" t="s">
        <v>3</v>
      </c>
      <c r="B8" s="41" t="s">
        <v>127</v>
      </c>
      <c r="C8" s="37">
        <f t="shared" si="1"/>
        <v>74567352</v>
      </c>
      <c r="D8" s="37">
        <f>D9+D10+D11</f>
        <v>11730000</v>
      </c>
      <c r="E8" s="37">
        <f t="shared" ref="E8:R8" si="3">E9+E10+E11</f>
        <v>0</v>
      </c>
      <c r="F8" s="37">
        <f t="shared" si="3"/>
        <v>600000</v>
      </c>
      <c r="G8" s="37">
        <f t="shared" si="3"/>
        <v>6000000</v>
      </c>
      <c r="H8" s="37">
        <f t="shared" si="3"/>
        <v>237000</v>
      </c>
      <c r="I8" s="37">
        <f t="shared" si="3"/>
        <v>24400000</v>
      </c>
      <c r="J8" s="37">
        <f t="shared" si="3"/>
        <v>7357600</v>
      </c>
      <c r="K8" s="37">
        <f t="shared" si="3"/>
        <v>0</v>
      </c>
      <c r="L8" s="37">
        <f t="shared" si="3"/>
        <v>0</v>
      </c>
      <c r="M8" s="37">
        <f t="shared" si="3"/>
        <v>18475000</v>
      </c>
      <c r="N8" s="37">
        <f t="shared" si="3"/>
        <v>5767752</v>
      </c>
      <c r="O8" s="37">
        <f t="shared" si="3"/>
        <v>0</v>
      </c>
      <c r="P8" s="37">
        <f t="shared" si="3"/>
        <v>0</v>
      </c>
      <c r="Q8" s="37">
        <f t="shared" si="3"/>
        <v>0</v>
      </c>
      <c r="R8" s="37">
        <f t="shared" si="3"/>
        <v>0</v>
      </c>
    </row>
    <row r="9" spans="1:23" x14ac:dyDescent="0.25">
      <c r="A9" s="18" t="s">
        <v>4</v>
      </c>
      <c r="B9" s="42" t="s">
        <v>131</v>
      </c>
      <c r="C9" s="37">
        <f t="shared" si="1"/>
        <v>50223000</v>
      </c>
      <c r="D9" s="5">
        <v>2010000</v>
      </c>
      <c r="E9" s="5">
        <v>0</v>
      </c>
      <c r="F9" s="87"/>
      <c r="G9" s="5"/>
      <c r="H9" s="5"/>
      <c r="I9" s="5">
        <v>23500000</v>
      </c>
      <c r="J9" s="5">
        <v>6348000</v>
      </c>
      <c r="K9" s="5">
        <v>0</v>
      </c>
      <c r="L9" s="5"/>
      <c r="M9" s="6">
        <v>18365000</v>
      </c>
      <c r="N9" s="5"/>
      <c r="O9" s="70"/>
      <c r="P9" s="5"/>
      <c r="Q9" s="4"/>
      <c r="R9" s="5"/>
    </row>
    <row r="10" spans="1:23" ht="28.5" x14ac:dyDescent="0.25">
      <c r="A10" s="18" t="s">
        <v>5</v>
      </c>
      <c r="B10" s="42" t="s">
        <v>128</v>
      </c>
      <c r="C10" s="37">
        <f t="shared" si="1"/>
        <v>14110300</v>
      </c>
      <c r="D10" s="5">
        <f>2220000+2000000</f>
        <v>4220000</v>
      </c>
      <c r="E10" s="5">
        <v>0</v>
      </c>
      <c r="F10" s="87">
        <v>600000</v>
      </c>
      <c r="G10" s="5">
        <f>5250000+750000</f>
        <v>6000000</v>
      </c>
      <c r="H10" s="5">
        <v>237000</v>
      </c>
      <c r="I10" s="5">
        <v>900000</v>
      </c>
      <c r="J10" s="5">
        <v>75600</v>
      </c>
      <c r="K10" s="5"/>
      <c r="L10" s="5"/>
      <c r="M10" s="6">
        <v>35000</v>
      </c>
      <c r="N10" s="5">
        <v>2042700</v>
      </c>
      <c r="O10" s="70"/>
      <c r="P10" s="5"/>
      <c r="Q10" s="4"/>
      <c r="R10" s="5"/>
    </row>
    <row r="11" spans="1:23" x14ac:dyDescent="0.25">
      <c r="A11" s="18" t="s">
        <v>6</v>
      </c>
      <c r="B11" s="42" t="s">
        <v>129</v>
      </c>
      <c r="C11" s="37">
        <f t="shared" si="1"/>
        <v>10234052</v>
      </c>
      <c r="D11" s="5">
        <f>5000000+500000</f>
        <v>5500000</v>
      </c>
      <c r="E11" s="5">
        <v>0</v>
      </c>
      <c r="F11" s="87"/>
      <c r="G11" s="5"/>
      <c r="H11" s="5"/>
      <c r="I11" s="5"/>
      <c r="J11" s="5">
        <v>934000</v>
      </c>
      <c r="K11" s="5"/>
      <c r="L11" s="5"/>
      <c r="M11" s="6">
        <v>75000</v>
      </c>
      <c r="N11" s="5">
        <v>3725052</v>
      </c>
      <c r="O11" s="70"/>
      <c r="P11" s="5"/>
      <c r="Q11" s="8"/>
      <c r="R11" s="5"/>
    </row>
    <row r="12" spans="1:23" x14ac:dyDescent="0.25">
      <c r="A12" s="18" t="s">
        <v>7</v>
      </c>
      <c r="B12" s="41" t="s">
        <v>130</v>
      </c>
      <c r="C12" s="37">
        <f t="shared" si="1"/>
        <v>63341640</v>
      </c>
      <c r="D12" s="37">
        <f>D13+D14</f>
        <v>0</v>
      </c>
      <c r="E12" s="37">
        <f t="shared" ref="E12:R12" si="4">E13+E14</f>
        <v>0</v>
      </c>
      <c r="F12" s="37">
        <f t="shared" si="4"/>
        <v>5400000</v>
      </c>
      <c r="G12" s="37">
        <f t="shared" si="4"/>
        <v>0</v>
      </c>
      <c r="H12" s="37">
        <f t="shared" si="4"/>
        <v>6333640</v>
      </c>
      <c r="I12" s="37">
        <f t="shared" si="4"/>
        <v>0</v>
      </c>
      <c r="J12" s="37">
        <f t="shared" si="4"/>
        <v>0</v>
      </c>
      <c r="K12" s="37">
        <f t="shared" si="4"/>
        <v>21458000</v>
      </c>
      <c r="L12" s="37">
        <f t="shared" si="4"/>
        <v>17700000</v>
      </c>
      <c r="M12" s="37">
        <f t="shared" si="4"/>
        <v>1400000</v>
      </c>
      <c r="N12" s="37">
        <f t="shared" si="4"/>
        <v>0</v>
      </c>
      <c r="O12" s="37">
        <f t="shared" si="4"/>
        <v>11050000</v>
      </c>
      <c r="P12" s="37">
        <f t="shared" si="4"/>
        <v>0</v>
      </c>
      <c r="Q12" s="37">
        <f t="shared" si="4"/>
        <v>0</v>
      </c>
      <c r="R12" s="37">
        <f t="shared" si="4"/>
        <v>0</v>
      </c>
    </row>
    <row r="13" spans="1:23" x14ac:dyDescent="0.25">
      <c r="A13" s="18" t="s">
        <v>8</v>
      </c>
      <c r="B13" s="42" t="s">
        <v>134</v>
      </c>
      <c r="C13" s="37">
        <f t="shared" si="1"/>
        <v>31958000</v>
      </c>
      <c r="D13" s="5">
        <v>0</v>
      </c>
      <c r="E13" s="5">
        <v>0</v>
      </c>
      <c r="F13" s="87">
        <v>600000</v>
      </c>
      <c r="G13" s="5"/>
      <c r="H13" s="5"/>
      <c r="I13" s="5"/>
      <c r="J13" s="5"/>
      <c r="K13" s="5">
        <v>12408000</v>
      </c>
      <c r="L13" s="5">
        <v>12000000</v>
      </c>
      <c r="M13" s="6">
        <v>600000</v>
      </c>
      <c r="N13" s="5"/>
      <c r="O13" s="70">
        <v>6350000</v>
      </c>
      <c r="P13" s="5"/>
      <c r="Q13" s="4"/>
      <c r="R13" s="5"/>
    </row>
    <row r="14" spans="1:23" x14ac:dyDescent="0.25">
      <c r="A14" s="18" t="s">
        <v>9</v>
      </c>
      <c r="B14" s="42" t="s">
        <v>135</v>
      </c>
      <c r="C14" s="37">
        <f t="shared" si="1"/>
        <v>31383640</v>
      </c>
      <c r="D14" s="5">
        <v>0</v>
      </c>
      <c r="E14" s="5">
        <v>0</v>
      </c>
      <c r="F14" s="87">
        <v>4800000</v>
      </c>
      <c r="G14" s="5"/>
      <c r="H14" s="5">
        <v>6333640</v>
      </c>
      <c r="I14" s="5"/>
      <c r="J14" s="5"/>
      <c r="K14" s="5">
        <f>8050000+1000000</f>
        <v>9050000</v>
      </c>
      <c r="L14" s="5">
        <v>5700000</v>
      </c>
      <c r="M14" s="6">
        <v>800000</v>
      </c>
      <c r="N14" s="5"/>
      <c r="O14" s="70">
        <v>4700000</v>
      </c>
      <c r="P14" s="5"/>
      <c r="Q14" s="4"/>
      <c r="R14" s="5"/>
    </row>
    <row r="15" spans="1:23" x14ac:dyDescent="0.25">
      <c r="A15" s="18" t="s">
        <v>10</v>
      </c>
      <c r="B15" s="41" t="s">
        <v>136</v>
      </c>
      <c r="C15" s="37">
        <f t="shared" si="1"/>
        <v>5310000</v>
      </c>
      <c r="D15" s="37">
        <f>D16</f>
        <v>1200000</v>
      </c>
      <c r="E15" s="37">
        <f t="shared" ref="E15:R15" si="5">E16</f>
        <v>0</v>
      </c>
      <c r="F15" s="37">
        <f t="shared" si="5"/>
        <v>0</v>
      </c>
      <c r="G15" s="37">
        <f t="shared" si="5"/>
        <v>0</v>
      </c>
      <c r="H15" s="37">
        <f t="shared" si="5"/>
        <v>30000</v>
      </c>
      <c r="I15" s="37">
        <f t="shared" si="5"/>
        <v>0</v>
      </c>
      <c r="J15" s="37">
        <f t="shared" si="5"/>
        <v>0</v>
      </c>
      <c r="K15" s="37">
        <f t="shared" si="5"/>
        <v>2400000</v>
      </c>
      <c r="L15" s="37">
        <f t="shared" si="5"/>
        <v>1680000</v>
      </c>
      <c r="M15" s="37">
        <f t="shared" si="5"/>
        <v>0</v>
      </c>
      <c r="N15" s="37">
        <f t="shared" si="5"/>
        <v>0</v>
      </c>
      <c r="O15" s="37">
        <f t="shared" si="5"/>
        <v>0</v>
      </c>
      <c r="P15" s="37">
        <f t="shared" si="5"/>
        <v>0</v>
      </c>
      <c r="Q15" s="37">
        <f t="shared" si="5"/>
        <v>0</v>
      </c>
      <c r="R15" s="37">
        <f t="shared" si="5"/>
        <v>0</v>
      </c>
    </row>
    <row r="16" spans="1:23" x14ac:dyDescent="0.25">
      <c r="A16" s="18" t="s">
        <v>11</v>
      </c>
      <c r="B16" s="42" t="s">
        <v>137</v>
      </c>
      <c r="C16" s="37">
        <f t="shared" si="1"/>
        <v>5310000</v>
      </c>
      <c r="D16" s="5">
        <f>900000+300000</f>
        <v>1200000</v>
      </c>
      <c r="E16" s="5"/>
      <c r="F16" s="87"/>
      <c r="G16" s="5"/>
      <c r="H16" s="5">
        <v>30000</v>
      </c>
      <c r="I16" s="5"/>
      <c r="J16" s="5"/>
      <c r="K16" s="5">
        <f>2100000+300000</f>
        <v>2400000</v>
      </c>
      <c r="L16" s="5">
        <f>1380000+300000</f>
        <v>1680000</v>
      </c>
      <c r="M16" s="6"/>
      <c r="N16" s="5"/>
      <c r="O16" s="70"/>
      <c r="P16" s="5"/>
      <c r="Q16" s="4"/>
      <c r="R16" s="5"/>
    </row>
    <row r="17" spans="1:20" x14ac:dyDescent="0.25">
      <c r="A17" s="18" t="s">
        <v>12</v>
      </c>
      <c r="B17" s="41" t="s">
        <v>138</v>
      </c>
      <c r="C17" s="37">
        <f t="shared" si="1"/>
        <v>156912578</v>
      </c>
      <c r="D17" s="37">
        <f>D18+D19+D20+D21+D22+D23+D24</f>
        <v>190000</v>
      </c>
      <c r="E17" s="37">
        <f t="shared" ref="E17:R17" si="6">E18+E19+E20+E21+E22+E23+E24</f>
        <v>2754576</v>
      </c>
      <c r="F17" s="37">
        <f t="shared" si="6"/>
        <v>1200000</v>
      </c>
      <c r="G17" s="37">
        <f t="shared" si="6"/>
        <v>0</v>
      </c>
      <c r="H17" s="37">
        <f t="shared" si="6"/>
        <v>144000</v>
      </c>
      <c r="I17" s="37">
        <f t="shared" si="6"/>
        <v>1000000</v>
      </c>
      <c r="J17" s="37">
        <f t="shared" si="6"/>
        <v>0</v>
      </c>
      <c r="K17" s="37">
        <f t="shared" si="6"/>
        <v>222876</v>
      </c>
      <c r="L17" s="37">
        <f t="shared" si="6"/>
        <v>5916000</v>
      </c>
      <c r="M17" s="37">
        <f t="shared" si="6"/>
        <v>1083512</v>
      </c>
      <c r="N17" s="37">
        <f t="shared" si="6"/>
        <v>436800</v>
      </c>
      <c r="O17" s="37">
        <f t="shared" si="6"/>
        <v>186000</v>
      </c>
      <c r="P17" s="37">
        <f t="shared" si="6"/>
        <v>0</v>
      </c>
      <c r="Q17" s="37">
        <f t="shared" si="6"/>
        <v>4800000</v>
      </c>
      <c r="R17" s="37">
        <f t="shared" si="6"/>
        <v>138978814</v>
      </c>
    </row>
    <row r="18" spans="1:20" x14ac:dyDescent="0.25">
      <c r="A18" s="18" t="s">
        <v>13</v>
      </c>
      <c r="B18" s="42" t="s">
        <v>139</v>
      </c>
      <c r="C18" s="37">
        <f t="shared" si="1"/>
        <v>720000</v>
      </c>
      <c r="D18" s="5">
        <v>0</v>
      </c>
      <c r="E18" s="5">
        <v>0</v>
      </c>
      <c r="F18" s="87"/>
      <c r="G18" s="5"/>
      <c r="H18" s="5"/>
      <c r="I18" s="5"/>
      <c r="J18" s="5"/>
      <c r="K18" s="5"/>
      <c r="L18" s="5"/>
      <c r="M18" s="6">
        <v>720000</v>
      </c>
      <c r="N18" s="5"/>
      <c r="O18" s="70"/>
      <c r="P18" s="5"/>
      <c r="Q18" s="4"/>
      <c r="R18" s="5"/>
    </row>
    <row r="19" spans="1:20" x14ac:dyDescent="0.25">
      <c r="A19" s="18" t="s">
        <v>14</v>
      </c>
      <c r="B19" s="42" t="s">
        <v>140</v>
      </c>
      <c r="C19" s="37">
        <f t="shared" si="1"/>
        <v>6963764</v>
      </c>
      <c r="D19" s="5">
        <f>90000+100000</f>
        <v>190000</v>
      </c>
      <c r="E19" s="5">
        <v>954576</v>
      </c>
      <c r="F19" s="87">
        <v>1200000</v>
      </c>
      <c r="G19" s="5"/>
      <c r="H19" s="5">
        <v>144000</v>
      </c>
      <c r="I19" s="5"/>
      <c r="J19" s="5"/>
      <c r="K19" s="5">
        <v>222876</v>
      </c>
      <c r="L19" s="5">
        <v>2016000</v>
      </c>
      <c r="M19" s="6">
        <v>363512</v>
      </c>
      <c r="N19" s="5">
        <v>436800</v>
      </c>
      <c r="O19" s="70">
        <v>186000</v>
      </c>
      <c r="P19" s="5"/>
      <c r="Q19" s="4"/>
      <c r="R19" s="5">
        <v>1250000</v>
      </c>
    </row>
    <row r="20" spans="1:20" x14ac:dyDescent="0.25">
      <c r="A20" s="18" t="s">
        <v>15</v>
      </c>
      <c r="B20" s="42" t="s">
        <v>141</v>
      </c>
      <c r="C20" s="37">
        <f t="shared" si="1"/>
        <v>40000000</v>
      </c>
      <c r="D20" s="7">
        <v>0</v>
      </c>
      <c r="E20" s="7">
        <v>0</v>
      </c>
      <c r="F20" s="88"/>
      <c r="G20" s="5"/>
      <c r="H20" s="5"/>
      <c r="I20" s="7">
        <v>1000000</v>
      </c>
      <c r="J20" s="7"/>
      <c r="K20" s="5"/>
      <c r="L20" s="5"/>
      <c r="M20" s="6"/>
      <c r="N20" s="5"/>
      <c r="O20" s="71"/>
      <c r="P20" s="5"/>
      <c r="Q20" s="8"/>
      <c r="R20" s="5">
        <f>30000000+9000000</f>
        <v>39000000</v>
      </c>
    </row>
    <row r="21" spans="1:20" x14ac:dyDescent="0.25">
      <c r="A21" s="18" t="s">
        <v>16</v>
      </c>
      <c r="B21" s="42" t="s">
        <v>142</v>
      </c>
      <c r="C21" s="37">
        <f t="shared" si="1"/>
        <v>0</v>
      </c>
      <c r="D21" s="5">
        <v>0</v>
      </c>
      <c r="E21" s="5">
        <v>0</v>
      </c>
      <c r="F21" s="87"/>
      <c r="G21" s="5"/>
      <c r="H21" s="5"/>
      <c r="I21" s="5"/>
      <c r="J21" s="5"/>
      <c r="K21" s="5"/>
      <c r="L21" s="5"/>
      <c r="M21" s="6"/>
      <c r="N21" s="5"/>
      <c r="O21" s="70"/>
      <c r="P21" s="5"/>
      <c r="Q21" s="4"/>
      <c r="R21" s="5"/>
    </row>
    <row r="22" spans="1:20" ht="28.5" x14ac:dyDescent="0.25">
      <c r="A22" s="18" t="s">
        <v>18</v>
      </c>
      <c r="B22" s="43" t="s">
        <v>143</v>
      </c>
      <c r="C22" s="37">
        <f t="shared" si="1"/>
        <v>4800000</v>
      </c>
      <c r="D22" s="37">
        <v>0</v>
      </c>
      <c r="E22" s="37">
        <v>0</v>
      </c>
      <c r="F22" s="89"/>
      <c r="G22" s="37"/>
      <c r="H22" s="37"/>
      <c r="I22" s="37">
        <v>0</v>
      </c>
      <c r="J22" s="37"/>
      <c r="K22" s="37"/>
      <c r="L22" s="37">
        <v>0</v>
      </c>
      <c r="M22" s="37"/>
      <c r="N22" s="37">
        <v>0</v>
      </c>
      <c r="O22" s="72">
        <v>0</v>
      </c>
      <c r="P22" s="37"/>
      <c r="Q22" s="37">
        <v>4800000</v>
      </c>
      <c r="R22" s="37">
        <v>0</v>
      </c>
    </row>
    <row r="23" spans="1:20" x14ac:dyDescent="0.25">
      <c r="A23" s="18" t="s">
        <v>19</v>
      </c>
      <c r="B23" s="42" t="s">
        <v>144</v>
      </c>
      <c r="C23" s="37">
        <f t="shared" si="1"/>
        <v>5700000</v>
      </c>
      <c r="D23" s="5">
        <v>0</v>
      </c>
      <c r="E23" s="5">
        <v>1800000</v>
      </c>
      <c r="F23" s="87"/>
      <c r="G23" s="5"/>
      <c r="H23" s="5"/>
      <c r="I23" s="5"/>
      <c r="J23" s="5"/>
      <c r="K23" s="5"/>
      <c r="L23" s="5">
        <v>3900000</v>
      </c>
      <c r="M23" s="6">
        <v>0</v>
      </c>
      <c r="N23" s="5">
        <v>0</v>
      </c>
      <c r="O23" s="70">
        <v>0</v>
      </c>
      <c r="P23" s="5"/>
      <c r="Q23" s="4"/>
      <c r="R23" s="5">
        <v>0</v>
      </c>
    </row>
    <row r="24" spans="1:20" ht="32.25" customHeight="1" x14ac:dyDescent="0.25">
      <c r="A24" s="22" t="s">
        <v>20</v>
      </c>
      <c r="B24" s="66" t="s">
        <v>145</v>
      </c>
      <c r="C24" s="37">
        <f t="shared" si="1"/>
        <v>98728814</v>
      </c>
      <c r="D24" s="37">
        <v>0</v>
      </c>
      <c r="E24" s="37">
        <v>0</v>
      </c>
      <c r="F24" s="90"/>
      <c r="G24" s="37"/>
      <c r="H24" s="37"/>
      <c r="I24" s="37"/>
      <c r="J24" s="37"/>
      <c r="K24" s="37"/>
      <c r="L24" s="37">
        <v>0</v>
      </c>
      <c r="M24" s="37"/>
      <c r="N24" s="37">
        <v>0</v>
      </c>
      <c r="O24" s="73">
        <v>0</v>
      </c>
      <c r="P24" s="37"/>
      <c r="Q24" s="37"/>
      <c r="R24" s="37">
        <v>98728814</v>
      </c>
    </row>
    <row r="25" spans="1:20" s="1" customFormat="1" ht="24" customHeight="1" thickBot="1" x14ac:dyDescent="0.3">
      <c r="A25" s="40" t="s">
        <v>115</v>
      </c>
      <c r="B25" s="44" t="s">
        <v>146</v>
      </c>
      <c r="C25" s="37">
        <f t="shared" si="1"/>
        <v>162365219</v>
      </c>
      <c r="D25" s="37">
        <v>21742277</v>
      </c>
      <c r="E25" s="37">
        <v>10456355</v>
      </c>
      <c r="F25" s="91"/>
      <c r="G25" s="37">
        <v>41200</v>
      </c>
      <c r="H25" s="37"/>
      <c r="I25" s="37">
        <v>5000000</v>
      </c>
      <c r="J25" s="37">
        <v>300000</v>
      </c>
      <c r="K25" s="37">
        <v>49032</v>
      </c>
      <c r="L25" s="37">
        <v>14400000</v>
      </c>
      <c r="M25" s="37">
        <v>56473138</v>
      </c>
      <c r="N25" s="37"/>
      <c r="O25" s="74">
        <v>3986933</v>
      </c>
      <c r="P25" s="180">
        <v>37616284</v>
      </c>
      <c r="Q25" s="37"/>
      <c r="R25" s="37">
        <v>12300000</v>
      </c>
    </row>
    <row r="26" spans="1:20" ht="15.75" thickBot="1" x14ac:dyDescent="0.3">
      <c r="A26" s="2"/>
      <c r="B26" s="45"/>
      <c r="C26" s="37">
        <f t="shared" si="1"/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v>0</v>
      </c>
      <c r="O26" s="75"/>
      <c r="P26" s="2"/>
      <c r="Q26" s="2"/>
      <c r="R26" s="2"/>
    </row>
    <row r="27" spans="1:20" x14ac:dyDescent="0.25">
      <c r="A27" s="23" t="s">
        <v>21</v>
      </c>
      <c r="B27" s="46" t="s">
        <v>147</v>
      </c>
      <c r="C27" s="37">
        <f>C28+C32+C62+C88+C114+C120+C121+C122</f>
        <v>694518816</v>
      </c>
      <c r="D27" s="76">
        <f>D28+D32+D62+D88+D114+D120</f>
        <v>96401624</v>
      </c>
      <c r="E27" s="76">
        <f t="shared" ref="E27:Q27" si="7">E28+E32+E62+E88+E114+E120</f>
        <v>22852131</v>
      </c>
      <c r="F27" s="76">
        <f t="shared" si="7"/>
        <v>11140000</v>
      </c>
      <c r="G27" s="76">
        <f t="shared" si="7"/>
        <v>13026236</v>
      </c>
      <c r="H27" s="76">
        <f t="shared" si="7"/>
        <v>9152640</v>
      </c>
      <c r="I27" s="76">
        <f t="shared" si="7"/>
        <v>33992000</v>
      </c>
      <c r="J27" s="76">
        <f t="shared" si="7"/>
        <v>7938600</v>
      </c>
      <c r="K27" s="76">
        <f t="shared" si="7"/>
        <v>17426074</v>
      </c>
      <c r="L27" s="76">
        <f t="shared" si="7"/>
        <v>39172088</v>
      </c>
      <c r="M27" s="76">
        <f t="shared" si="7"/>
        <v>92780056</v>
      </c>
      <c r="N27" s="76">
        <f t="shared" si="7"/>
        <v>42923343</v>
      </c>
      <c r="O27" s="76">
        <f t="shared" si="7"/>
        <v>24479110</v>
      </c>
      <c r="P27" s="76">
        <f t="shared" si="7"/>
        <v>66166284</v>
      </c>
      <c r="Q27" s="76">
        <f t="shared" si="7"/>
        <v>9270000</v>
      </c>
      <c r="R27" s="76">
        <f>R28+R32+R62+R88+R114+R120+R121+R122</f>
        <v>207567630</v>
      </c>
      <c r="T27" s="86"/>
    </row>
    <row r="28" spans="1:20" x14ac:dyDescent="0.25">
      <c r="A28" s="24" t="s">
        <v>22</v>
      </c>
      <c r="B28" s="47" t="s">
        <v>148</v>
      </c>
      <c r="C28" s="37">
        <f t="shared" si="1"/>
        <v>258583034</v>
      </c>
      <c r="D28" s="77">
        <f>D29+D30+D31</f>
        <v>35900000</v>
      </c>
      <c r="E28" s="77">
        <f t="shared" ref="E28:R28" si="8">E29+E30+E31</f>
        <v>6671952</v>
      </c>
      <c r="F28" s="77">
        <f t="shared" si="8"/>
        <v>8400000</v>
      </c>
      <c r="G28" s="77">
        <f t="shared" si="8"/>
        <v>10157196</v>
      </c>
      <c r="H28" s="77">
        <f t="shared" si="8"/>
        <v>6520620</v>
      </c>
      <c r="I28" s="77">
        <f t="shared" si="8"/>
        <v>18680000</v>
      </c>
      <c r="J28" s="77">
        <f t="shared" si="8"/>
        <v>4520000</v>
      </c>
      <c r="K28" s="77">
        <f t="shared" si="8"/>
        <v>10682250</v>
      </c>
      <c r="L28" s="77">
        <f t="shared" si="8"/>
        <v>17180008</v>
      </c>
      <c r="M28" s="77">
        <f t="shared" si="8"/>
        <v>23588568</v>
      </c>
      <c r="N28" s="77">
        <f t="shared" si="8"/>
        <v>23500024</v>
      </c>
      <c r="O28" s="77">
        <f t="shared" si="8"/>
        <v>12660000</v>
      </c>
      <c r="P28" s="77">
        <f t="shared" si="8"/>
        <v>14380000</v>
      </c>
      <c r="Q28" s="77">
        <f t="shared" si="8"/>
        <v>7200000</v>
      </c>
      <c r="R28" s="77">
        <f t="shared" si="8"/>
        <v>58542416</v>
      </c>
      <c r="T28" s="86"/>
    </row>
    <row r="29" spans="1:20" x14ac:dyDescent="0.25">
      <c r="A29" s="19" t="s">
        <v>23</v>
      </c>
      <c r="B29" s="48" t="s">
        <v>149</v>
      </c>
      <c r="C29" s="37">
        <f t="shared" si="1"/>
        <v>250301724</v>
      </c>
      <c r="D29" s="37">
        <f>34200000+1500000</f>
        <v>35700000</v>
      </c>
      <c r="E29" s="37">
        <f>5848164+763788</f>
        <v>6611952</v>
      </c>
      <c r="F29" s="37">
        <f>7080000+1200000</f>
        <v>8280000</v>
      </c>
      <c r="G29" s="37">
        <f>9497196+660000</f>
        <v>10157196</v>
      </c>
      <c r="H29" s="37">
        <f>5546028+914592</f>
        <v>6460620</v>
      </c>
      <c r="I29" s="37">
        <f>18580000+0</f>
        <v>18580000</v>
      </c>
      <c r="J29" s="37">
        <f>3960000+560000</f>
        <v>4520000</v>
      </c>
      <c r="K29" s="37">
        <f>10517040+0</f>
        <v>10517040</v>
      </c>
      <c r="L29" s="37">
        <f>14500008+2500000</f>
        <v>17000008</v>
      </c>
      <c r="M29" s="37">
        <f>21208568+2280000</f>
        <v>23488568</v>
      </c>
      <c r="N29" s="37">
        <f>18829260+3474664</f>
        <v>22303924</v>
      </c>
      <c r="O29" s="78">
        <f>10200000+2460000</f>
        <v>12660000</v>
      </c>
      <c r="P29" s="37">
        <f>11160000+3220000</f>
        <v>14380000</v>
      </c>
      <c r="Q29" s="37">
        <f>6600000+600000</f>
        <v>7200000</v>
      </c>
      <c r="R29" s="181">
        <f>43895856+8546560</f>
        <v>52442416</v>
      </c>
      <c r="S29" s="132">
        <v>221622120</v>
      </c>
      <c r="T29" s="86">
        <f>C29-S29</f>
        <v>28679604</v>
      </c>
    </row>
    <row r="30" spans="1:20" x14ac:dyDescent="0.25">
      <c r="A30" s="19" t="s">
        <v>24</v>
      </c>
      <c r="B30" s="49" t="s">
        <v>150</v>
      </c>
      <c r="C30" s="37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6"/>
      <c r="N30" s="10"/>
      <c r="O30" s="78"/>
      <c r="P30" s="10"/>
      <c r="Q30" s="4"/>
      <c r="R30" s="7"/>
      <c r="S30">
        <v>28679612</v>
      </c>
      <c r="T30" s="86">
        <f>C30-S30</f>
        <v>-28679612</v>
      </c>
    </row>
    <row r="31" spans="1:20" x14ac:dyDescent="0.25">
      <c r="A31" s="19" t="s">
        <v>25</v>
      </c>
      <c r="B31" s="50" t="s">
        <v>151</v>
      </c>
      <c r="C31" s="37">
        <f t="shared" si="1"/>
        <v>8281310</v>
      </c>
      <c r="D31" s="10">
        <v>200000</v>
      </c>
      <c r="E31" s="10">
        <v>60000</v>
      </c>
      <c r="F31" s="10">
        <v>120000</v>
      </c>
      <c r="G31" s="10"/>
      <c r="H31" s="10">
        <v>60000</v>
      </c>
      <c r="I31" s="10">
        <v>100000</v>
      </c>
      <c r="J31" s="10"/>
      <c r="K31" s="10">
        <v>165210</v>
      </c>
      <c r="L31" s="10">
        <v>180000</v>
      </c>
      <c r="M31" s="6">
        <v>100000</v>
      </c>
      <c r="N31" s="10">
        <f>272100+924000</f>
        <v>1196100</v>
      </c>
      <c r="O31" s="78"/>
      <c r="P31" s="10"/>
      <c r="Q31" s="4"/>
      <c r="R31" s="7">
        <f>100000+6000000</f>
        <v>6100000</v>
      </c>
    </row>
    <row r="32" spans="1:20" x14ac:dyDescent="0.25">
      <c r="A32" s="24" t="s">
        <v>26</v>
      </c>
      <c r="B32" s="47" t="s">
        <v>240</v>
      </c>
      <c r="C32" s="37">
        <f t="shared" si="1"/>
        <v>91490622</v>
      </c>
      <c r="D32" s="77">
        <v>27230000</v>
      </c>
      <c r="E32" s="77">
        <f>E33+E34+E35+E36+E37+E38+E39+E40+E41+E42+E43+E44+E45+E46+E47+E48+E49+E50+E51+E52+E53+E54+E55+E56+E57+E58+E59+E60+E61</f>
        <v>3675000</v>
      </c>
      <c r="F32" s="77">
        <f t="shared" ref="F32:R32" si="9">F33+F34+F35+F36+F37+F38+F39+F40+F41+F42+F43+F44+F45+F46+F47+F48+F49+F50+F51+F52+F53+F54+F55+F56+F57+F58+F59+F60+F61</f>
        <v>1172000</v>
      </c>
      <c r="G32" s="77">
        <f t="shared" si="9"/>
        <v>1143350</v>
      </c>
      <c r="H32" s="77">
        <f t="shared" si="9"/>
        <v>1597008</v>
      </c>
      <c r="I32" s="77">
        <f t="shared" si="9"/>
        <v>4678000</v>
      </c>
      <c r="J32" s="77">
        <f t="shared" si="9"/>
        <v>821200</v>
      </c>
      <c r="K32" s="77">
        <f t="shared" si="9"/>
        <v>3379300</v>
      </c>
      <c r="L32" s="77">
        <f t="shared" si="9"/>
        <v>5418180</v>
      </c>
      <c r="M32" s="77">
        <f t="shared" si="9"/>
        <v>4978042</v>
      </c>
      <c r="N32" s="77">
        <f t="shared" si="9"/>
        <v>7818142</v>
      </c>
      <c r="O32" s="77">
        <f t="shared" si="9"/>
        <v>2896000</v>
      </c>
      <c r="P32" s="77">
        <f t="shared" si="9"/>
        <v>8709000</v>
      </c>
      <c r="Q32" s="77">
        <f t="shared" si="9"/>
        <v>1134000</v>
      </c>
      <c r="R32" s="77">
        <f t="shared" si="9"/>
        <v>16841400</v>
      </c>
      <c r="S32">
        <v>251493058</v>
      </c>
    </row>
    <row r="33" spans="1:26" x14ac:dyDescent="0.25">
      <c r="A33" s="24" t="s">
        <v>27</v>
      </c>
      <c r="B33" s="50" t="s">
        <v>152</v>
      </c>
      <c r="C33" s="37">
        <f t="shared" si="1"/>
        <v>1241000</v>
      </c>
      <c r="D33" s="5">
        <v>120000</v>
      </c>
      <c r="E33" s="5">
        <v>30000</v>
      </c>
      <c r="F33" s="5">
        <v>12000</v>
      </c>
      <c r="G33" s="5">
        <v>6000</v>
      </c>
      <c r="H33" s="5">
        <v>30000</v>
      </c>
      <c r="I33" s="5">
        <v>300000</v>
      </c>
      <c r="J33" s="5">
        <v>6000</v>
      </c>
      <c r="K33" s="5">
        <v>120000</v>
      </c>
      <c r="L33" s="5">
        <v>0</v>
      </c>
      <c r="M33" s="6">
        <v>50000</v>
      </c>
      <c r="N33" s="5">
        <v>400000</v>
      </c>
      <c r="O33" s="70">
        <v>0</v>
      </c>
      <c r="P33" s="5">
        <v>100000</v>
      </c>
      <c r="Q33" s="4">
        <v>12000</v>
      </c>
      <c r="R33" s="5">
        <v>55000</v>
      </c>
      <c r="S33" s="86">
        <f>C29-S32</f>
        <v>-1191334</v>
      </c>
      <c r="Z33">
        <v>120000</v>
      </c>
    </row>
    <row r="34" spans="1:26" x14ac:dyDescent="0.25">
      <c r="A34" s="24" t="s">
        <v>28</v>
      </c>
      <c r="B34" s="50" t="s">
        <v>153</v>
      </c>
      <c r="C34" s="37">
        <f t="shared" si="1"/>
        <v>546000</v>
      </c>
      <c r="D34" s="5">
        <v>34000</v>
      </c>
      <c r="E34" s="5">
        <v>18000</v>
      </c>
      <c r="F34" s="5">
        <v>12000</v>
      </c>
      <c r="G34" s="5">
        <v>6000</v>
      </c>
      <c r="H34" s="5">
        <v>24000</v>
      </c>
      <c r="I34" s="5">
        <v>30000</v>
      </c>
      <c r="J34" s="5">
        <v>6000</v>
      </c>
      <c r="K34" s="5">
        <v>24000</v>
      </c>
      <c r="L34" s="5">
        <v>60000</v>
      </c>
      <c r="M34" s="6">
        <v>30000</v>
      </c>
      <c r="N34" s="5">
        <v>60000</v>
      </c>
      <c r="O34" s="70">
        <v>20000</v>
      </c>
      <c r="P34" s="5">
        <v>30000</v>
      </c>
      <c r="Q34" s="4">
        <v>12000</v>
      </c>
      <c r="R34" s="5">
        <v>180000</v>
      </c>
      <c r="Z34">
        <v>34000</v>
      </c>
    </row>
    <row r="35" spans="1:26" x14ac:dyDescent="0.25">
      <c r="A35" s="24" t="s">
        <v>29</v>
      </c>
      <c r="B35" s="50" t="s">
        <v>154</v>
      </c>
      <c r="C35" s="37">
        <f t="shared" si="1"/>
        <v>1536996</v>
      </c>
      <c r="D35" s="5">
        <v>120000</v>
      </c>
      <c r="E35" s="5">
        <v>48000</v>
      </c>
      <c r="F35" s="5">
        <v>24000</v>
      </c>
      <c r="G35" s="5">
        <v>30000</v>
      </c>
      <c r="H35" s="5">
        <v>72000</v>
      </c>
      <c r="I35" s="5">
        <v>50000</v>
      </c>
      <c r="J35" s="5">
        <v>6000</v>
      </c>
      <c r="K35" s="5">
        <v>60000</v>
      </c>
      <c r="L35" s="5">
        <v>99996</v>
      </c>
      <c r="M35" s="6">
        <v>60000</v>
      </c>
      <c r="N35" s="5">
        <v>180000</v>
      </c>
      <c r="O35" s="70">
        <v>28000</v>
      </c>
      <c r="P35" s="5">
        <v>235000</v>
      </c>
      <c r="Q35" s="4">
        <v>24000</v>
      </c>
      <c r="R35" s="5">
        <v>500000</v>
      </c>
      <c r="Z35">
        <v>120000</v>
      </c>
    </row>
    <row r="36" spans="1:26" x14ac:dyDescent="0.25">
      <c r="A36" s="24" t="s">
        <v>30</v>
      </c>
      <c r="B36" s="50" t="s">
        <v>155</v>
      </c>
      <c r="C36" s="37">
        <f t="shared" si="1"/>
        <v>718744</v>
      </c>
      <c r="D36" s="5">
        <v>90000</v>
      </c>
      <c r="E36" s="5">
        <v>12000</v>
      </c>
      <c r="F36" s="5">
        <v>12000</v>
      </c>
      <c r="G36" s="5">
        <v>10000</v>
      </c>
      <c r="H36" s="5">
        <v>24000</v>
      </c>
      <c r="I36" s="5">
        <v>24000</v>
      </c>
      <c r="J36" s="5">
        <v>3600</v>
      </c>
      <c r="K36" s="5">
        <v>30000</v>
      </c>
      <c r="L36" s="5">
        <v>84744</v>
      </c>
      <c r="M36" s="6">
        <v>0</v>
      </c>
      <c r="N36" s="5">
        <v>60000</v>
      </c>
      <c r="O36" s="70">
        <v>12000</v>
      </c>
      <c r="P36" s="5">
        <v>0</v>
      </c>
      <c r="Q36" s="4">
        <v>6000</v>
      </c>
      <c r="R36" s="5">
        <v>350400</v>
      </c>
      <c r="Z36">
        <v>90000</v>
      </c>
    </row>
    <row r="37" spans="1:26" x14ac:dyDescent="0.25">
      <c r="A37" s="24" t="s">
        <v>31</v>
      </c>
      <c r="B37" s="50" t="s">
        <v>239</v>
      </c>
      <c r="C37" s="37">
        <f t="shared" si="1"/>
        <v>102956</v>
      </c>
      <c r="D37" s="5">
        <v>0</v>
      </c>
      <c r="E37" s="5">
        <v>0</v>
      </c>
      <c r="F37" s="5">
        <v>0</v>
      </c>
      <c r="G37" s="5">
        <v>3000</v>
      </c>
      <c r="H37" s="5">
        <v>0</v>
      </c>
      <c r="I37" s="5">
        <v>10000</v>
      </c>
      <c r="J37" s="5">
        <v>3000</v>
      </c>
      <c r="K37" s="5">
        <v>0</v>
      </c>
      <c r="L37" s="5">
        <v>16956</v>
      </c>
      <c r="M37" s="6">
        <v>0</v>
      </c>
      <c r="N37" s="5">
        <v>30000</v>
      </c>
      <c r="O37" s="70">
        <v>0</v>
      </c>
      <c r="P37" s="5">
        <v>0</v>
      </c>
      <c r="Q37" s="4">
        <v>0</v>
      </c>
      <c r="R37" s="5">
        <v>40000</v>
      </c>
      <c r="Z37">
        <v>0</v>
      </c>
    </row>
    <row r="38" spans="1:26" x14ac:dyDescent="0.25">
      <c r="A38" s="24" t="s">
        <v>32</v>
      </c>
      <c r="B38" s="50" t="s">
        <v>156</v>
      </c>
      <c r="C38" s="37">
        <f t="shared" si="1"/>
        <v>643388</v>
      </c>
      <c r="D38" s="5">
        <v>70000</v>
      </c>
      <c r="E38" s="5">
        <v>14000</v>
      </c>
      <c r="F38" s="5">
        <v>12000</v>
      </c>
      <c r="G38" s="5">
        <v>10000</v>
      </c>
      <c r="H38" s="5">
        <v>24000</v>
      </c>
      <c r="I38" s="5">
        <v>180000</v>
      </c>
      <c r="J38" s="5">
        <v>4000</v>
      </c>
      <c r="K38" s="5">
        <v>40800</v>
      </c>
      <c r="L38" s="5">
        <v>40008</v>
      </c>
      <c r="M38" s="6">
        <v>20000</v>
      </c>
      <c r="N38" s="5">
        <v>102580</v>
      </c>
      <c r="O38" s="70">
        <v>44000</v>
      </c>
      <c r="P38" s="5">
        <v>0</v>
      </c>
      <c r="Q38" s="8">
        <v>12000</v>
      </c>
      <c r="R38" s="5">
        <v>70000</v>
      </c>
      <c r="Z38">
        <v>70000</v>
      </c>
    </row>
    <row r="39" spans="1:26" x14ac:dyDescent="0.25">
      <c r="A39" s="24" t="s">
        <v>33</v>
      </c>
      <c r="B39" s="50" t="s">
        <v>157</v>
      </c>
      <c r="C39" s="37">
        <f t="shared" si="1"/>
        <v>1296744</v>
      </c>
      <c r="D39" s="5">
        <v>780000</v>
      </c>
      <c r="E39" s="5">
        <v>12000</v>
      </c>
      <c r="F39" s="5">
        <v>12000</v>
      </c>
      <c r="G39" s="5">
        <v>6000</v>
      </c>
      <c r="H39" s="5">
        <v>12000</v>
      </c>
      <c r="I39" s="5">
        <v>36000</v>
      </c>
      <c r="J39" s="5">
        <v>6000</v>
      </c>
      <c r="K39" s="5">
        <v>60000</v>
      </c>
      <c r="L39" s="5">
        <v>84744</v>
      </c>
      <c r="M39" s="6">
        <v>0</v>
      </c>
      <c r="N39" s="5">
        <v>0</v>
      </c>
      <c r="O39" s="70">
        <v>12000</v>
      </c>
      <c r="P39" s="5">
        <v>216000</v>
      </c>
      <c r="Q39" s="4">
        <v>0</v>
      </c>
      <c r="R39" s="5">
        <v>60000</v>
      </c>
      <c r="Z39">
        <v>780000</v>
      </c>
    </row>
    <row r="40" spans="1:26" x14ac:dyDescent="0.25">
      <c r="A40" s="24" t="s">
        <v>34</v>
      </c>
      <c r="B40" s="50" t="s">
        <v>158</v>
      </c>
      <c r="C40" s="37">
        <f t="shared" si="1"/>
        <v>24168038</v>
      </c>
      <c r="D40" s="5">
        <v>15620000</v>
      </c>
      <c r="E40" s="5">
        <v>2400000</v>
      </c>
      <c r="F40" s="5">
        <v>57000</v>
      </c>
      <c r="G40" s="5">
        <v>150000</v>
      </c>
      <c r="H40" s="5">
        <v>180000</v>
      </c>
      <c r="I40" s="5">
        <v>400000</v>
      </c>
      <c r="J40" s="5">
        <v>52000</v>
      </c>
      <c r="K40" s="5">
        <v>285000</v>
      </c>
      <c r="L40" s="5">
        <v>1599996</v>
      </c>
      <c r="M40" s="6">
        <v>1748042</v>
      </c>
      <c r="N40" s="5">
        <v>520000</v>
      </c>
      <c r="O40" s="70">
        <v>280000</v>
      </c>
      <c r="P40" s="5">
        <v>204000</v>
      </c>
      <c r="Q40" s="4">
        <v>72000</v>
      </c>
      <c r="R40" s="5">
        <v>600000</v>
      </c>
      <c r="Z40">
        <v>15620000</v>
      </c>
    </row>
    <row r="41" spans="1:26" x14ac:dyDescent="0.25">
      <c r="A41" s="24" t="s">
        <v>35</v>
      </c>
      <c r="B41" s="50" t="s">
        <v>159</v>
      </c>
      <c r="C41" s="37">
        <f t="shared" si="1"/>
        <v>1845596</v>
      </c>
      <c r="D41" s="5">
        <v>200000</v>
      </c>
      <c r="E41" s="5">
        <v>18000</v>
      </c>
      <c r="F41" s="5">
        <v>30000</v>
      </c>
      <c r="G41" s="5">
        <v>24000</v>
      </c>
      <c r="H41" s="5">
        <v>15000</v>
      </c>
      <c r="I41" s="5">
        <v>48000</v>
      </c>
      <c r="J41" s="5">
        <v>3600</v>
      </c>
      <c r="K41" s="5">
        <v>159000</v>
      </c>
      <c r="L41" s="5">
        <v>249996</v>
      </c>
      <c r="M41" s="6">
        <v>600000</v>
      </c>
      <c r="N41" s="5">
        <v>150000</v>
      </c>
      <c r="O41" s="70">
        <v>96000</v>
      </c>
      <c r="P41" s="5">
        <v>24000</v>
      </c>
      <c r="Q41" s="4">
        <v>12000</v>
      </c>
      <c r="R41" s="5">
        <v>216000</v>
      </c>
      <c r="Z41">
        <v>200000</v>
      </c>
    </row>
    <row r="42" spans="1:26" x14ac:dyDescent="0.25">
      <c r="A42" s="24" t="s">
        <v>36</v>
      </c>
      <c r="B42" s="50" t="s">
        <v>160</v>
      </c>
      <c r="C42" s="37">
        <f t="shared" si="1"/>
        <v>2007000</v>
      </c>
      <c r="D42" s="5">
        <v>250000</v>
      </c>
      <c r="E42" s="5">
        <v>60000</v>
      </c>
      <c r="F42" s="5">
        <v>40000</v>
      </c>
      <c r="G42" s="5">
        <v>80000</v>
      </c>
      <c r="H42" s="5">
        <v>72000</v>
      </c>
      <c r="I42" s="5">
        <v>150000</v>
      </c>
      <c r="J42" s="5">
        <v>60000</v>
      </c>
      <c r="K42" s="5">
        <v>50000</v>
      </c>
      <c r="L42" s="5">
        <v>150000</v>
      </c>
      <c r="M42" s="6">
        <v>200000</v>
      </c>
      <c r="N42" s="5">
        <v>265000</v>
      </c>
      <c r="O42" s="70">
        <v>150000</v>
      </c>
      <c r="P42" s="5">
        <v>240000</v>
      </c>
      <c r="Q42" s="4">
        <v>120000</v>
      </c>
      <c r="R42" s="5">
        <v>120000</v>
      </c>
      <c r="Z42">
        <v>250000</v>
      </c>
    </row>
    <row r="43" spans="1:26" x14ac:dyDescent="0.25">
      <c r="A43" s="24" t="s">
        <v>37</v>
      </c>
      <c r="B43" s="50" t="s">
        <v>161</v>
      </c>
      <c r="C43" s="37">
        <f t="shared" si="1"/>
        <v>705000</v>
      </c>
      <c r="D43" s="5">
        <v>60000</v>
      </c>
      <c r="E43" s="5">
        <v>0</v>
      </c>
      <c r="F43" s="5">
        <v>6000</v>
      </c>
      <c r="G43" s="5">
        <v>5000</v>
      </c>
      <c r="H43" s="5">
        <v>0</v>
      </c>
      <c r="I43" s="5">
        <v>20000</v>
      </c>
      <c r="J43" s="5">
        <v>6000</v>
      </c>
      <c r="K43" s="5">
        <v>0</v>
      </c>
      <c r="L43" s="5">
        <v>48000</v>
      </c>
      <c r="M43" s="6">
        <v>0</v>
      </c>
      <c r="N43" s="5">
        <v>60000</v>
      </c>
      <c r="O43" s="70">
        <v>0</v>
      </c>
      <c r="P43" s="5">
        <v>0</v>
      </c>
      <c r="Q43" s="4">
        <v>0</v>
      </c>
      <c r="R43" s="5">
        <v>500000</v>
      </c>
      <c r="Z43">
        <v>60000</v>
      </c>
    </row>
    <row r="44" spans="1:26" ht="28.5" x14ac:dyDescent="0.25">
      <c r="A44" s="24" t="s">
        <v>38</v>
      </c>
      <c r="B44" s="50" t="s">
        <v>162</v>
      </c>
      <c r="C44" s="37">
        <f t="shared" si="1"/>
        <v>21544044</v>
      </c>
      <c r="D44" s="5">
        <v>2300000</v>
      </c>
      <c r="E44" s="5">
        <v>240000</v>
      </c>
      <c r="F44" s="5">
        <v>435000</v>
      </c>
      <c r="G44" s="5">
        <v>310000</v>
      </c>
      <c r="H44" s="5">
        <v>350004</v>
      </c>
      <c r="I44" s="5">
        <v>2400000</v>
      </c>
      <c r="J44" s="5">
        <v>72000</v>
      </c>
      <c r="K44" s="5">
        <v>1050000</v>
      </c>
      <c r="L44" s="5">
        <v>1860000</v>
      </c>
      <c r="M44" s="6">
        <v>600000</v>
      </c>
      <c r="N44" s="5">
        <v>1467040</v>
      </c>
      <c r="O44" s="70">
        <v>1500000</v>
      </c>
      <c r="P44" s="5">
        <v>3600000</v>
      </c>
      <c r="Q44" s="4">
        <v>360000</v>
      </c>
      <c r="R44" s="5">
        <v>5000000</v>
      </c>
      <c r="Z44">
        <v>2300000</v>
      </c>
    </row>
    <row r="45" spans="1:26" x14ac:dyDescent="0.25">
      <c r="A45" s="24" t="s">
        <v>39</v>
      </c>
      <c r="B45" s="50" t="s">
        <v>163</v>
      </c>
      <c r="C45" s="37">
        <f t="shared" si="1"/>
        <v>850606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6">
        <v>0</v>
      </c>
      <c r="N45" s="5">
        <v>200606</v>
      </c>
      <c r="O45" s="70">
        <v>0</v>
      </c>
      <c r="P45" s="5">
        <v>0</v>
      </c>
      <c r="Q45" s="4">
        <v>0</v>
      </c>
      <c r="R45" s="5">
        <v>650000</v>
      </c>
      <c r="Z45">
        <v>0</v>
      </c>
    </row>
    <row r="46" spans="1:26" x14ac:dyDescent="0.25">
      <c r="A46" s="24" t="s">
        <v>40</v>
      </c>
      <c r="B46" s="50" t="s">
        <v>164</v>
      </c>
      <c r="C46" s="37">
        <f t="shared" si="1"/>
        <v>1751000</v>
      </c>
      <c r="D46" s="5">
        <v>300000</v>
      </c>
      <c r="E46" s="5">
        <v>73000</v>
      </c>
      <c r="F46" s="5">
        <v>36000</v>
      </c>
      <c r="G46" s="5">
        <v>50000</v>
      </c>
      <c r="H46" s="5">
        <v>36000</v>
      </c>
      <c r="I46" s="5">
        <v>50000</v>
      </c>
      <c r="J46" s="5">
        <v>20000</v>
      </c>
      <c r="K46" s="5">
        <v>60000</v>
      </c>
      <c r="L46" s="5">
        <v>360000</v>
      </c>
      <c r="M46" s="6">
        <v>200000</v>
      </c>
      <c r="N46" s="5">
        <v>310000</v>
      </c>
      <c r="O46" s="70">
        <v>84000</v>
      </c>
      <c r="P46" s="5">
        <v>60000</v>
      </c>
      <c r="Q46" s="4">
        <v>12000</v>
      </c>
      <c r="R46" s="5">
        <v>100000</v>
      </c>
      <c r="Z46">
        <v>300000</v>
      </c>
    </row>
    <row r="47" spans="1:26" x14ac:dyDescent="0.25">
      <c r="A47" s="24" t="s">
        <v>41</v>
      </c>
      <c r="B47" s="131" t="s">
        <v>165</v>
      </c>
      <c r="C47" s="37">
        <f t="shared" si="1"/>
        <v>2308000</v>
      </c>
      <c r="D47" s="5">
        <v>600000</v>
      </c>
      <c r="E47" s="5">
        <v>0</v>
      </c>
      <c r="F47" s="5">
        <v>0</v>
      </c>
      <c r="G47" s="5">
        <v>0</v>
      </c>
      <c r="H47" s="5">
        <v>180000</v>
      </c>
      <c r="I47" s="5">
        <v>100000</v>
      </c>
      <c r="J47" s="5">
        <v>0</v>
      </c>
      <c r="K47" s="5">
        <v>402000</v>
      </c>
      <c r="L47" s="5">
        <v>402000</v>
      </c>
      <c r="M47" s="6">
        <v>360000</v>
      </c>
      <c r="N47" s="5">
        <v>240000</v>
      </c>
      <c r="O47" s="70">
        <v>0</v>
      </c>
      <c r="P47" s="5">
        <v>0</v>
      </c>
      <c r="Q47" s="4">
        <v>24000</v>
      </c>
      <c r="R47" s="5">
        <v>0</v>
      </c>
      <c r="Z47">
        <v>600000</v>
      </c>
    </row>
    <row r="48" spans="1:26" ht="28.5" x14ac:dyDescent="0.25">
      <c r="A48" s="24" t="s">
        <v>42</v>
      </c>
      <c r="B48" s="50" t="s">
        <v>166</v>
      </c>
      <c r="C48" s="37">
        <f t="shared" si="1"/>
        <v>603000</v>
      </c>
      <c r="D48" s="5">
        <v>72000</v>
      </c>
      <c r="E48" s="5">
        <v>60000</v>
      </c>
      <c r="F48" s="5">
        <v>12000</v>
      </c>
      <c r="G48" s="5">
        <v>6000</v>
      </c>
      <c r="H48" s="5">
        <v>12000</v>
      </c>
      <c r="I48" s="5">
        <v>20000</v>
      </c>
      <c r="J48" s="5">
        <v>20000</v>
      </c>
      <c r="K48" s="5">
        <v>36000</v>
      </c>
      <c r="L48" s="5">
        <v>15000</v>
      </c>
      <c r="M48" s="6">
        <v>10000</v>
      </c>
      <c r="N48" s="5">
        <v>30000</v>
      </c>
      <c r="O48" s="70">
        <v>10000</v>
      </c>
      <c r="P48" s="5">
        <v>0</v>
      </c>
      <c r="Q48" s="4">
        <v>0</v>
      </c>
      <c r="R48" s="5">
        <v>300000</v>
      </c>
      <c r="Z48">
        <v>72000</v>
      </c>
    </row>
    <row r="49" spans="1:26" x14ac:dyDescent="0.25">
      <c r="A49" s="24" t="s">
        <v>43</v>
      </c>
      <c r="B49" s="52" t="s">
        <v>167</v>
      </c>
      <c r="C49" s="37">
        <f t="shared" si="1"/>
        <v>234000</v>
      </c>
      <c r="D49" s="5">
        <v>54000</v>
      </c>
      <c r="E49" s="5">
        <v>0</v>
      </c>
      <c r="F49" s="5"/>
      <c r="G49" s="5"/>
      <c r="H49" s="5"/>
      <c r="I49" s="5"/>
      <c r="J49" s="5"/>
      <c r="K49" s="5"/>
      <c r="L49" s="5"/>
      <c r="M49" s="6"/>
      <c r="N49" s="5"/>
      <c r="O49" s="70"/>
      <c r="P49" s="5">
        <v>0</v>
      </c>
      <c r="Q49" s="4">
        <v>0</v>
      </c>
      <c r="R49" s="5">
        <v>180000</v>
      </c>
      <c r="Z49">
        <v>54000</v>
      </c>
    </row>
    <row r="50" spans="1:26" x14ac:dyDescent="0.25">
      <c r="A50" s="24" t="s">
        <v>44</v>
      </c>
      <c r="B50" s="50" t="s">
        <v>168</v>
      </c>
      <c r="C50" s="37">
        <f t="shared" si="1"/>
        <v>9504752</v>
      </c>
      <c r="D50" s="5">
        <v>4500000</v>
      </c>
      <c r="E50" s="5">
        <v>480000</v>
      </c>
      <c r="F50" s="5">
        <v>12000</v>
      </c>
      <c r="G50" s="5">
        <v>2000</v>
      </c>
      <c r="H50" s="5">
        <v>6000</v>
      </c>
      <c r="I50" s="5">
        <v>10000</v>
      </c>
      <c r="J50" s="5">
        <v>400000</v>
      </c>
      <c r="K50" s="5">
        <v>0</v>
      </c>
      <c r="L50" s="5">
        <v>84744</v>
      </c>
      <c r="M50" s="6">
        <v>0</v>
      </c>
      <c r="N50" s="5">
        <v>1000008</v>
      </c>
      <c r="O50" s="70">
        <v>10000</v>
      </c>
      <c r="P50" s="5">
        <v>0</v>
      </c>
      <c r="Q50" s="4">
        <v>0</v>
      </c>
      <c r="R50" s="5">
        <v>3000000</v>
      </c>
      <c r="Z50">
        <v>4500000</v>
      </c>
    </row>
    <row r="51" spans="1:26" x14ac:dyDescent="0.25">
      <c r="A51" s="19" t="s">
        <v>45</v>
      </c>
      <c r="B51" s="52" t="s">
        <v>169</v>
      </c>
      <c r="C51" s="37">
        <f t="shared" si="1"/>
        <v>2460000</v>
      </c>
      <c r="D51" s="5">
        <v>200000</v>
      </c>
      <c r="E51" s="5">
        <v>0</v>
      </c>
      <c r="F51" s="5">
        <v>0</v>
      </c>
      <c r="G51" s="5">
        <v>20000</v>
      </c>
      <c r="H51" s="5">
        <v>120000</v>
      </c>
      <c r="I51" s="5">
        <v>100000</v>
      </c>
      <c r="J51" s="5">
        <v>30000</v>
      </c>
      <c r="K51" s="5">
        <v>60000</v>
      </c>
      <c r="L51" s="5">
        <v>0</v>
      </c>
      <c r="M51" s="6">
        <v>100000</v>
      </c>
      <c r="N51" s="5">
        <v>1000000</v>
      </c>
      <c r="O51" s="70">
        <v>50000</v>
      </c>
      <c r="P51" s="5">
        <v>0</v>
      </c>
      <c r="Q51" s="4">
        <v>60000</v>
      </c>
      <c r="R51" s="5">
        <v>720000</v>
      </c>
      <c r="Z51">
        <v>200000</v>
      </c>
    </row>
    <row r="52" spans="1:26" x14ac:dyDescent="0.25">
      <c r="A52" s="19" t="s">
        <v>46</v>
      </c>
      <c r="B52" s="50" t="s">
        <v>170</v>
      </c>
      <c r="C52" s="37">
        <f t="shared" si="1"/>
        <v>409000</v>
      </c>
      <c r="D52" s="5">
        <v>60000</v>
      </c>
      <c r="E52" s="5">
        <v>0</v>
      </c>
      <c r="F52" s="5">
        <v>30000</v>
      </c>
      <c r="G52" s="5">
        <v>75000</v>
      </c>
      <c r="H52" s="5">
        <v>0</v>
      </c>
      <c r="I52" s="5">
        <v>30000</v>
      </c>
      <c r="J52" s="5">
        <v>48000</v>
      </c>
      <c r="K52" s="5">
        <v>0</v>
      </c>
      <c r="L52" s="5">
        <v>0</v>
      </c>
      <c r="M52" s="6">
        <v>0</v>
      </c>
      <c r="N52" s="5">
        <v>100000</v>
      </c>
      <c r="O52" s="70">
        <v>30000</v>
      </c>
      <c r="P52" s="5">
        <v>36000</v>
      </c>
      <c r="Q52" s="4">
        <v>0</v>
      </c>
      <c r="R52" s="5">
        <v>0</v>
      </c>
      <c r="Z52">
        <v>60000</v>
      </c>
    </row>
    <row r="53" spans="1:26" x14ac:dyDescent="0.25">
      <c r="A53" s="19" t="s">
        <v>47</v>
      </c>
      <c r="B53" s="51" t="s">
        <v>171</v>
      </c>
      <c r="C53" s="37">
        <f t="shared" si="1"/>
        <v>140000</v>
      </c>
      <c r="D53" s="5">
        <v>0</v>
      </c>
      <c r="E53" s="5">
        <v>0</v>
      </c>
      <c r="F53" s="5">
        <v>0</v>
      </c>
      <c r="G53" s="5">
        <v>50000</v>
      </c>
      <c r="H53" s="5">
        <v>60000</v>
      </c>
      <c r="I53" s="5">
        <v>30000</v>
      </c>
      <c r="J53" s="5">
        <v>0</v>
      </c>
      <c r="K53" s="5">
        <v>0</v>
      </c>
      <c r="L53" s="5">
        <v>0</v>
      </c>
      <c r="M53" s="6">
        <v>0</v>
      </c>
      <c r="N53" s="5">
        <v>0</v>
      </c>
      <c r="O53" s="70">
        <v>0</v>
      </c>
      <c r="P53" s="5">
        <v>0</v>
      </c>
      <c r="Q53" s="4">
        <v>0</v>
      </c>
      <c r="R53" s="5">
        <v>0</v>
      </c>
      <c r="Z53">
        <v>0</v>
      </c>
    </row>
    <row r="54" spans="1:26" x14ac:dyDescent="0.25">
      <c r="A54" s="19" t="s">
        <v>48</v>
      </c>
      <c r="B54" s="50" t="s">
        <v>248</v>
      </c>
      <c r="C54" s="37">
        <f t="shared" si="1"/>
        <v>394538</v>
      </c>
      <c r="D54" s="5">
        <v>0</v>
      </c>
      <c r="E54" s="5">
        <v>0</v>
      </c>
      <c r="F54" s="5">
        <v>0</v>
      </c>
      <c r="G54" s="5"/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6">
        <v>0</v>
      </c>
      <c r="N54" s="5">
        <v>394538</v>
      </c>
      <c r="O54" s="70">
        <v>0</v>
      </c>
      <c r="P54" s="5">
        <v>0</v>
      </c>
      <c r="Q54" s="4">
        <v>0</v>
      </c>
      <c r="R54" s="5">
        <v>0</v>
      </c>
      <c r="Z54">
        <v>0</v>
      </c>
    </row>
    <row r="55" spans="1:26" x14ac:dyDescent="0.25">
      <c r="A55" s="19" t="s">
        <v>49</v>
      </c>
      <c r="B55" s="50" t="s">
        <v>173</v>
      </c>
      <c r="C55" s="37">
        <f t="shared" si="1"/>
        <v>1076000</v>
      </c>
      <c r="D55" s="5">
        <v>200000</v>
      </c>
      <c r="E55" s="5">
        <v>30000</v>
      </c>
      <c r="F55" s="5">
        <v>10000</v>
      </c>
      <c r="G55" s="5"/>
      <c r="H55" s="5">
        <v>60000</v>
      </c>
      <c r="I55" s="5">
        <v>60000</v>
      </c>
      <c r="J55" s="5">
        <v>20000</v>
      </c>
      <c r="K55" s="5">
        <v>100000</v>
      </c>
      <c r="L55" s="5">
        <v>60000</v>
      </c>
      <c r="M55" s="6">
        <v>150000</v>
      </c>
      <c r="N55" s="5">
        <v>0</v>
      </c>
      <c r="O55" s="70">
        <v>90000</v>
      </c>
      <c r="P55" s="5"/>
      <c r="Q55" s="4">
        <v>96000</v>
      </c>
      <c r="R55" s="5">
        <v>200000</v>
      </c>
      <c r="Z55">
        <v>200000</v>
      </c>
    </row>
    <row r="56" spans="1:26" x14ac:dyDescent="0.25">
      <c r="A56" s="19" t="s">
        <v>50</v>
      </c>
      <c r="B56" s="50"/>
      <c r="C56" s="37">
        <f t="shared" si="1"/>
        <v>0</v>
      </c>
      <c r="D56" s="5">
        <v>0</v>
      </c>
      <c r="E56" s="5">
        <v>0</v>
      </c>
      <c r="F56" s="5">
        <v>0</v>
      </c>
      <c r="G56" s="5"/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6">
        <v>0</v>
      </c>
      <c r="N56" s="5">
        <v>0</v>
      </c>
      <c r="O56" s="70">
        <v>0</v>
      </c>
      <c r="P56" s="5"/>
      <c r="Q56" s="4">
        <v>0</v>
      </c>
      <c r="R56" s="5"/>
      <c r="Z56">
        <v>0</v>
      </c>
    </row>
    <row r="57" spans="1:26" x14ac:dyDescent="0.25">
      <c r="A57" s="25" t="s">
        <v>51</v>
      </c>
      <c r="B57" s="50" t="s">
        <v>174</v>
      </c>
      <c r="C57" s="37">
        <f t="shared" si="1"/>
        <v>1222500</v>
      </c>
      <c r="D57" s="5">
        <v>600000</v>
      </c>
      <c r="E57" s="5">
        <v>0</v>
      </c>
      <c r="F57" s="5">
        <v>0</v>
      </c>
      <c r="G57" s="5"/>
      <c r="H57" s="5">
        <v>0</v>
      </c>
      <c r="I57" s="5">
        <v>0</v>
      </c>
      <c r="J57" s="5">
        <v>0</v>
      </c>
      <c r="K57" s="5">
        <f>922500-300000</f>
        <v>622500</v>
      </c>
      <c r="L57" s="5">
        <v>0</v>
      </c>
      <c r="M57" s="6">
        <v>0</v>
      </c>
      <c r="N57" s="5"/>
      <c r="O57" s="70">
        <v>0</v>
      </c>
      <c r="P57" s="5"/>
      <c r="Q57" s="8">
        <v>0</v>
      </c>
      <c r="R57" s="5"/>
      <c r="Z57">
        <v>600000</v>
      </c>
    </row>
    <row r="58" spans="1:26" x14ac:dyDescent="0.25">
      <c r="A58" s="25" t="s">
        <v>52</v>
      </c>
      <c r="B58" s="54" t="s">
        <v>175</v>
      </c>
      <c r="C58" s="37">
        <f t="shared" si="1"/>
        <v>5800000</v>
      </c>
      <c r="D58" s="5">
        <v>300000</v>
      </c>
      <c r="E58" s="5">
        <v>30000</v>
      </c>
      <c r="F58" s="5">
        <v>0</v>
      </c>
      <c r="G58" s="5"/>
      <c r="H58" s="5">
        <v>180000</v>
      </c>
      <c r="I58" s="5">
        <v>30000</v>
      </c>
      <c r="J58" s="5">
        <v>30000</v>
      </c>
      <c r="K58" s="5">
        <v>0</v>
      </c>
      <c r="L58" s="5">
        <v>0</v>
      </c>
      <c r="M58" s="6">
        <v>50000</v>
      </c>
      <c r="N58" s="5"/>
      <c r="O58" s="70">
        <v>0</v>
      </c>
      <c r="P58" s="5">
        <v>1000000</v>
      </c>
      <c r="Q58" s="4">
        <v>180000</v>
      </c>
      <c r="R58" s="5">
        <v>4000000</v>
      </c>
      <c r="Z58">
        <v>300000</v>
      </c>
    </row>
    <row r="59" spans="1:26" x14ac:dyDescent="0.25">
      <c r="A59" s="25" t="s">
        <v>53</v>
      </c>
      <c r="B59" s="53"/>
      <c r="C59" s="37">
        <f t="shared" si="1"/>
        <v>0</v>
      </c>
      <c r="D59" s="5">
        <v>0</v>
      </c>
      <c r="E59" s="5">
        <v>0</v>
      </c>
      <c r="F59" s="5">
        <v>0</v>
      </c>
      <c r="G59" s="5"/>
      <c r="H59" s="5"/>
      <c r="I59" s="5">
        <v>0</v>
      </c>
      <c r="J59" s="5">
        <v>0</v>
      </c>
      <c r="K59" s="5">
        <v>0</v>
      </c>
      <c r="L59" s="5">
        <v>0</v>
      </c>
      <c r="M59" s="6">
        <v>0</v>
      </c>
      <c r="N59" s="5"/>
      <c r="O59" s="70">
        <v>0</v>
      </c>
      <c r="P59" s="5">
        <v>0</v>
      </c>
      <c r="Q59" s="8">
        <v>0</v>
      </c>
      <c r="R59" s="5"/>
      <c r="Z59">
        <v>0</v>
      </c>
    </row>
    <row r="60" spans="1:26" x14ac:dyDescent="0.25">
      <c r="A60" s="26" t="s">
        <v>54</v>
      </c>
      <c r="B60" s="50" t="s">
        <v>176</v>
      </c>
      <c r="C60" s="37">
        <f t="shared" si="1"/>
        <v>3771374</v>
      </c>
      <c r="D60" s="5">
        <v>200000</v>
      </c>
      <c r="E60" s="5">
        <v>50000</v>
      </c>
      <c r="F60" s="5">
        <v>120000</v>
      </c>
      <c r="G60" s="5">
        <v>100000</v>
      </c>
      <c r="H60" s="5">
        <v>80004</v>
      </c>
      <c r="I60" s="5">
        <v>300000</v>
      </c>
      <c r="J60" s="5">
        <v>15000</v>
      </c>
      <c r="K60" s="5">
        <v>100000</v>
      </c>
      <c r="L60" s="5">
        <v>102000</v>
      </c>
      <c r="M60" s="6">
        <v>500000</v>
      </c>
      <c r="N60" s="5">
        <v>1128370</v>
      </c>
      <c r="O60" s="70">
        <v>260000</v>
      </c>
      <c r="P60" s="5">
        <v>744000</v>
      </c>
      <c r="Q60" s="4">
        <v>72000</v>
      </c>
      <c r="R60" s="5"/>
      <c r="Z60">
        <v>200000</v>
      </c>
    </row>
    <row r="61" spans="1:26" x14ac:dyDescent="0.25">
      <c r="A61" s="20" t="s">
        <v>55</v>
      </c>
      <c r="B61" s="55" t="s">
        <v>177</v>
      </c>
      <c r="C61" s="37">
        <f t="shared" si="1"/>
        <v>4610346</v>
      </c>
      <c r="D61" s="5">
        <v>500000</v>
      </c>
      <c r="E61" s="5">
        <v>100000</v>
      </c>
      <c r="F61" s="5">
        <v>300000</v>
      </c>
      <c r="G61" s="5">
        <v>200350</v>
      </c>
      <c r="H61" s="5">
        <v>60000</v>
      </c>
      <c r="I61" s="5">
        <v>300000</v>
      </c>
      <c r="J61" s="5">
        <v>10000</v>
      </c>
      <c r="K61" s="5">
        <v>120000</v>
      </c>
      <c r="L61" s="5">
        <v>99996</v>
      </c>
      <c r="M61" s="6">
        <v>300000</v>
      </c>
      <c r="N61" s="5">
        <v>120000</v>
      </c>
      <c r="O61" s="70">
        <v>220000</v>
      </c>
      <c r="P61" s="5">
        <v>2220000</v>
      </c>
      <c r="Q61" s="4">
        <v>60000</v>
      </c>
      <c r="R61" s="5"/>
      <c r="Z61">
        <v>500000</v>
      </c>
    </row>
    <row r="62" spans="1:26" x14ac:dyDescent="0.25">
      <c r="A62" s="24" t="s">
        <v>56</v>
      </c>
      <c r="B62" s="56" t="s">
        <v>178</v>
      </c>
      <c r="C62" s="37">
        <f t="shared" si="1"/>
        <v>31760412</v>
      </c>
      <c r="D62" s="37">
        <v>2111800</v>
      </c>
      <c r="E62" s="37">
        <f>E63+E64+E65+E66+E67+E68+E69+E70+E71+E72+E73+E74+E75+E76+E77+E78+E79+E80+E81+E82+E83+E84+E85+E86+E87</f>
        <v>647000</v>
      </c>
      <c r="F62" s="37">
        <f>F63+F64+F65+F66+F67+F68+F69+F70+F71+F72+F73+F74+F75+F76+F77+F78+F79+F80+F81+F82+F83+F84+F85+F86+F87</f>
        <v>338000</v>
      </c>
      <c r="G62" s="37">
        <f>G63+G64+G65+G66+G67+G68+G69+G70+G71+G72+G73+G74+G75+G76+G77+G78+G79+G80+G81+G82+G83+G84+G85+G86+G87</f>
        <v>574000</v>
      </c>
      <c r="H62" s="37">
        <f t="shared" ref="H62:R62" si="10">H63+H64+H65+H66+H67+H68+H69+H70+H71+H72+H73+H74+H75+H76+H77+H78+H79+H80+H81+H82+H83+H84+H85+H86+H87</f>
        <v>375012</v>
      </c>
      <c r="I62" s="37">
        <f t="shared" si="10"/>
        <v>1454000</v>
      </c>
      <c r="J62" s="37">
        <f t="shared" si="10"/>
        <v>143400</v>
      </c>
      <c r="K62" s="37">
        <f t="shared" si="10"/>
        <v>958200</v>
      </c>
      <c r="L62" s="37">
        <f t="shared" si="10"/>
        <v>915100</v>
      </c>
      <c r="M62" s="37">
        <f>M63+M64+M65+M66+M67+M68+M69+M70+M71+M72+M73+M74+M75+M76+M77+M78+M79+M80+M81+M82+M83+M84+M85+M86+M87</f>
        <v>1370000</v>
      </c>
      <c r="N62" s="37">
        <f t="shared" si="10"/>
        <v>3050900</v>
      </c>
      <c r="O62" s="37">
        <f t="shared" si="10"/>
        <v>1437000</v>
      </c>
      <c r="P62" s="37">
        <f t="shared" si="10"/>
        <v>1541000</v>
      </c>
      <c r="Q62" s="37">
        <f t="shared" si="10"/>
        <v>390000</v>
      </c>
      <c r="R62" s="37">
        <f t="shared" si="10"/>
        <v>16455000</v>
      </c>
      <c r="Y62">
        <v>32300412</v>
      </c>
    </row>
    <row r="63" spans="1:26" x14ac:dyDescent="0.25">
      <c r="A63" s="24" t="s">
        <v>57</v>
      </c>
      <c r="B63" s="57" t="s">
        <v>179</v>
      </c>
      <c r="C63" s="37">
        <f t="shared" si="1"/>
        <v>930000</v>
      </c>
      <c r="D63" s="5">
        <v>240000</v>
      </c>
      <c r="E63" s="5">
        <v>30000</v>
      </c>
      <c r="F63" s="5">
        <v>30000</v>
      </c>
      <c r="G63" s="5">
        <v>20000</v>
      </c>
      <c r="H63" s="5">
        <v>36000</v>
      </c>
      <c r="I63" s="5">
        <v>50000</v>
      </c>
      <c r="J63" s="5">
        <v>0</v>
      </c>
      <c r="K63" s="5">
        <v>13000</v>
      </c>
      <c r="L63" s="5">
        <v>60000</v>
      </c>
      <c r="M63" s="93">
        <v>100000</v>
      </c>
      <c r="N63" s="5">
        <v>90000</v>
      </c>
      <c r="O63" s="70">
        <v>41000</v>
      </c>
      <c r="P63" s="5">
        <v>40000</v>
      </c>
      <c r="Q63" s="94">
        <v>0</v>
      </c>
      <c r="R63" s="5">
        <v>180000</v>
      </c>
      <c r="X63">
        <v>240000</v>
      </c>
      <c r="Y63" s="86">
        <f>C62-Y62</f>
        <v>-540000</v>
      </c>
    </row>
    <row r="64" spans="1:26" x14ac:dyDescent="0.25">
      <c r="A64" s="24" t="s">
        <v>58</v>
      </c>
      <c r="B64" s="67" t="s">
        <v>180</v>
      </c>
      <c r="C64" s="37">
        <f t="shared" si="1"/>
        <v>1578000</v>
      </c>
      <c r="D64" s="5">
        <v>200000</v>
      </c>
      <c r="E64" s="5">
        <v>0</v>
      </c>
      <c r="F64" s="5">
        <v>36000</v>
      </c>
      <c r="G64" s="5">
        <v>6000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93">
        <v>0</v>
      </c>
      <c r="N64" s="5">
        <v>226000</v>
      </c>
      <c r="O64" s="70">
        <v>0</v>
      </c>
      <c r="P64" s="5">
        <v>0</v>
      </c>
      <c r="Q64" s="94">
        <v>0</v>
      </c>
      <c r="R64" s="5">
        <v>1110000</v>
      </c>
      <c r="X64">
        <v>200000</v>
      </c>
    </row>
    <row r="65" spans="1:24" ht="30" x14ac:dyDescent="0.25">
      <c r="A65" s="24" t="s">
        <v>59</v>
      </c>
      <c r="B65" s="51" t="s">
        <v>181</v>
      </c>
      <c r="C65" s="37">
        <f t="shared" si="1"/>
        <v>4852000</v>
      </c>
      <c r="D65" s="5">
        <v>360000</v>
      </c>
      <c r="E65" s="5">
        <v>90000</v>
      </c>
      <c r="F65" s="5">
        <v>60000</v>
      </c>
      <c r="G65" s="5">
        <v>80000</v>
      </c>
      <c r="H65" s="5">
        <v>0</v>
      </c>
      <c r="I65" s="5">
        <v>130000</v>
      </c>
      <c r="J65" s="5">
        <v>6000</v>
      </c>
      <c r="K65" s="5">
        <v>318000</v>
      </c>
      <c r="L65" s="5">
        <v>240000</v>
      </c>
      <c r="M65" s="93">
        <v>200000</v>
      </c>
      <c r="N65" s="5">
        <v>300000</v>
      </c>
      <c r="O65" s="70">
        <v>600000</v>
      </c>
      <c r="P65" s="5">
        <v>420000</v>
      </c>
      <c r="Q65" s="94">
        <v>48000</v>
      </c>
      <c r="R65" s="5">
        <v>2000000</v>
      </c>
      <c r="X65">
        <v>360000</v>
      </c>
    </row>
    <row r="66" spans="1:24" x14ac:dyDescent="0.25">
      <c r="A66" s="24" t="s">
        <v>60</v>
      </c>
      <c r="B66" s="69" t="s">
        <v>182</v>
      </c>
      <c r="C66" s="37">
        <f t="shared" si="1"/>
        <v>709192</v>
      </c>
      <c r="D66" s="5">
        <v>19800</v>
      </c>
      <c r="E66" s="5">
        <v>24000</v>
      </c>
      <c r="F66" s="5">
        <v>12000</v>
      </c>
      <c r="G66" s="5">
        <v>30000</v>
      </c>
      <c r="H66" s="5">
        <v>12000</v>
      </c>
      <c r="I66" s="5">
        <v>30000</v>
      </c>
      <c r="J66" s="5">
        <v>6000</v>
      </c>
      <c r="K66" s="5">
        <v>10200</v>
      </c>
      <c r="L66" s="5">
        <v>21192</v>
      </c>
      <c r="M66" s="93">
        <v>18000</v>
      </c>
      <c r="N66" s="5">
        <v>238000</v>
      </c>
      <c r="O66" s="70">
        <v>36000</v>
      </c>
      <c r="P66" s="5">
        <v>120000</v>
      </c>
      <c r="Q66" s="94">
        <v>12000</v>
      </c>
      <c r="R66" s="5">
        <v>120000</v>
      </c>
      <c r="X66">
        <v>19800</v>
      </c>
    </row>
    <row r="67" spans="1:24" x14ac:dyDescent="0.25">
      <c r="A67" s="24" t="s">
        <v>61</v>
      </c>
      <c r="B67" s="69" t="s">
        <v>183</v>
      </c>
      <c r="C67" s="37">
        <f t="shared" si="1"/>
        <v>1320000</v>
      </c>
      <c r="D67" s="5">
        <v>120000</v>
      </c>
      <c r="E67" s="5"/>
      <c r="F67" s="5"/>
      <c r="G67" s="5"/>
      <c r="H67" s="5"/>
      <c r="I67" s="5"/>
      <c r="J67" s="5"/>
      <c r="K67" s="5"/>
      <c r="L67" s="5"/>
      <c r="M67" s="93"/>
      <c r="N67" s="5"/>
      <c r="O67" s="70"/>
      <c r="P67" s="5"/>
      <c r="Q67" s="94"/>
      <c r="R67" s="5">
        <v>1200000</v>
      </c>
      <c r="X67">
        <v>120000</v>
      </c>
    </row>
    <row r="68" spans="1:24" x14ac:dyDescent="0.25">
      <c r="A68" s="24" t="s">
        <v>62</v>
      </c>
      <c r="B68" s="57" t="s">
        <v>184</v>
      </c>
      <c r="C68" s="37">
        <f t="shared" si="1"/>
        <v>1642408</v>
      </c>
      <c r="D68" s="5">
        <v>198000</v>
      </c>
      <c r="E68" s="5">
        <v>18000</v>
      </c>
      <c r="F68" s="5">
        <v>30000</v>
      </c>
      <c r="G68" s="5">
        <v>18000</v>
      </c>
      <c r="H68" s="5">
        <v>12000</v>
      </c>
      <c r="I68" s="5">
        <v>24000</v>
      </c>
      <c r="J68" s="5">
        <v>2400</v>
      </c>
      <c r="K68" s="5">
        <v>60000</v>
      </c>
      <c r="L68" s="5">
        <v>100008</v>
      </c>
      <c r="M68" s="93">
        <v>12000</v>
      </c>
      <c r="N68" s="5">
        <v>700000</v>
      </c>
      <c r="O68" s="70">
        <v>150000</v>
      </c>
      <c r="P68" s="5">
        <v>12000</v>
      </c>
      <c r="Q68" s="94">
        <v>6000</v>
      </c>
      <c r="R68" s="5">
        <v>300000</v>
      </c>
      <c r="X68">
        <v>198000</v>
      </c>
    </row>
    <row r="69" spans="1:24" x14ac:dyDescent="0.25">
      <c r="A69" s="24" t="s">
        <v>63</v>
      </c>
      <c r="B69" s="57" t="s">
        <v>185</v>
      </c>
      <c r="C69" s="37">
        <f t="shared" ref="C69:C123" si="11">D69+E69+F69+G69+H69+I69+J69+K69+L69+M69+N69+O69+P69+Q69+R69</f>
        <v>4166000</v>
      </c>
      <c r="D69" s="5">
        <v>198000</v>
      </c>
      <c r="E69" s="5">
        <v>70000</v>
      </c>
      <c r="F69" s="5">
        <v>36000</v>
      </c>
      <c r="G69" s="5">
        <v>70000</v>
      </c>
      <c r="H69" s="5">
        <v>12000</v>
      </c>
      <c r="I69" s="5">
        <v>0</v>
      </c>
      <c r="J69" s="5">
        <v>0</v>
      </c>
      <c r="K69" s="5">
        <v>48000</v>
      </c>
      <c r="L69" s="5">
        <v>240000</v>
      </c>
      <c r="M69" s="93">
        <v>100000</v>
      </c>
      <c r="N69" s="5">
        <v>300000</v>
      </c>
      <c r="O69" s="70">
        <v>105000</v>
      </c>
      <c r="P69" s="5">
        <v>324000</v>
      </c>
      <c r="Q69" s="4">
        <v>6000</v>
      </c>
      <c r="R69" s="5">
        <v>2657000</v>
      </c>
      <c r="X69">
        <v>198000</v>
      </c>
    </row>
    <row r="70" spans="1:24" ht="28.5" x14ac:dyDescent="0.25">
      <c r="A70" s="24" t="s">
        <v>64</v>
      </c>
      <c r="B70" s="57" t="s">
        <v>186</v>
      </c>
      <c r="C70" s="37">
        <f t="shared" si="11"/>
        <v>599000</v>
      </c>
      <c r="D70" s="5">
        <v>150000</v>
      </c>
      <c r="E70" s="5">
        <v>50000</v>
      </c>
      <c r="F70" s="5">
        <v>1000</v>
      </c>
      <c r="G70" s="5">
        <v>0</v>
      </c>
      <c r="H70" s="5">
        <v>12000</v>
      </c>
      <c r="I70" s="5">
        <v>0</v>
      </c>
      <c r="J70" s="5">
        <v>0</v>
      </c>
      <c r="K70" s="5">
        <v>0</v>
      </c>
      <c r="L70" s="5">
        <v>100000</v>
      </c>
      <c r="M70" s="6">
        <v>50000</v>
      </c>
      <c r="N70" s="5">
        <v>100000</v>
      </c>
      <c r="O70" s="70">
        <v>0</v>
      </c>
      <c r="P70" s="5">
        <v>0</v>
      </c>
      <c r="Q70" s="4">
        <v>36000</v>
      </c>
      <c r="R70" s="5">
        <v>100000</v>
      </c>
      <c r="X70">
        <v>150000</v>
      </c>
    </row>
    <row r="71" spans="1:24" ht="28.5" x14ac:dyDescent="0.25">
      <c r="A71" s="24" t="s">
        <v>65</v>
      </c>
      <c r="B71" s="57" t="s">
        <v>187</v>
      </c>
      <c r="C71" s="37">
        <f t="shared" si="11"/>
        <v>234508</v>
      </c>
      <c r="D71" s="5">
        <v>60000</v>
      </c>
      <c r="E71" s="5">
        <v>30000</v>
      </c>
      <c r="F71" s="5">
        <v>5000</v>
      </c>
      <c r="G71" s="5">
        <v>20000</v>
      </c>
      <c r="H71" s="5">
        <v>10008</v>
      </c>
      <c r="I71" s="5">
        <v>20000</v>
      </c>
      <c r="J71" s="5">
        <v>6000</v>
      </c>
      <c r="K71" s="5">
        <v>0</v>
      </c>
      <c r="L71" s="5">
        <v>33900</v>
      </c>
      <c r="M71" s="6">
        <v>0</v>
      </c>
      <c r="N71" s="5">
        <v>16600</v>
      </c>
      <c r="O71" s="70">
        <v>5000</v>
      </c>
      <c r="P71" s="5">
        <v>10000</v>
      </c>
      <c r="Q71" s="8">
        <v>0</v>
      </c>
      <c r="R71" s="5">
        <v>18000</v>
      </c>
      <c r="X71">
        <v>60000</v>
      </c>
    </row>
    <row r="72" spans="1:24" x14ac:dyDescent="0.25">
      <c r="A72" s="24" t="s">
        <v>66</v>
      </c>
      <c r="B72" s="68" t="s">
        <v>188</v>
      </c>
      <c r="C72" s="37">
        <f t="shared" si="11"/>
        <v>576000</v>
      </c>
      <c r="D72" s="5">
        <v>0</v>
      </c>
      <c r="E72" s="5">
        <v>0</v>
      </c>
      <c r="F72" s="5">
        <v>0</v>
      </c>
      <c r="G72" s="5">
        <v>30000</v>
      </c>
      <c r="H72" s="5">
        <v>12000</v>
      </c>
      <c r="I72" s="5">
        <v>60000</v>
      </c>
      <c r="J72" s="5">
        <v>18000</v>
      </c>
      <c r="K72" s="5">
        <v>0</v>
      </c>
      <c r="L72" s="5">
        <v>0</v>
      </c>
      <c r="M72" s="6">
        <v>50000</v>
      </c>
      <c r="N72" s="5">
        <v>30000</v>
      </c>
      <c r="O72" s="70">
        <v>10000</v>
      </c>
      <c r="P72" s="5">
        <v>60000</v>
      </c>
      <c r="Q72" s="4">
        <v>6000</v>
      </c>
      <c r="R72" s="5">
        <v>300000</v>
      </c>
      <c r="X72">
        <v>0</v>
      </c>
    </row>
    <row r="73" spans="1:24" x14ac:dyDescent="0.25">
      <c r="A73" s="24" t="s">
        <v>67</v>
      </c>
      <c r="B73" s="57" t="s">
        <v>189</v>
      </c>
      <c r="C73" s="37">
        <f t="shared" si="11"/>
        <v>200000</v>
      </c>
      <c r="D73" s="5">
        <v>0</v>
      </c>
      <c r="E73" s="5">
        <v>0</v>
      </c>
      <c r="F73" s="5"/>
      <c r="G73" s="5"/>
      <c r="H73" s="5"/>
      <c r="I73" s="5"/>
      <c r="J73" s="5"/>
      <c r="K73" s="5"/>
      <c r="L73" s="5"/>
      <c r="M73" s="6"/>
      <c r="N73" s="5"/>
      <c r="O73" s="70"/>
      <c r="P73" s="5"/>
      <c r="Q73" s="4"/>
      <c r="R73" s="5">
        <v>200000</v>
      </c>
      <c r="X73">
        <v>0</v>
      </c>
    </row>
    <row r="74" spans="1:24" x14ac:dyDescent="0.25">
      <c r="A74" s="24" t="s">
        <v>68</v>
      </c>
      <c r="B74" s="57" t="s">
        <v>190</v>
      </c>
      <c r="C74" s="37">
        <f t="shared" si="11"/>
        <v>2231004</v>
      </c>
      <c r="D74" s="5">
        <v>0</v>
      </c>
      <c r="E74" s="5">
        <v>80000</v>
      </c>
      <c r="F74" s="5">
        <v>0</v>
      </c>
      <c r="G74" s="5">
        <v>150000</v>
      </c>
      <c r="H74" s="5">
        <v>50004</v>
      </c>
      <c r="I74" s="5">
        <v>120000</v>
      </c>
      <c r="J74" s="5">
        <v>50000</v>
      </c>
      <c r="K74" s="5">
        <v>0</v>
      </c>
      <c r="L74" s="5">
        <v>0</v>
      </c>
      <c r="M74" s="6">
        <v>700000</v>
      </c>
      <c r="N74" s="5">
        <v>581000</v>
      </c>
      <c r="O74" s="70">
        <v>240000</v>
      </c>
      <c r="P74" s="5">
        <v>260000</v>
      </c>
      <c r="Q74" s="4">
        <v>0</v>
      </c>
      <c r="R74" s="5">
        <v>0</v>
      </c>
      <c r="X74">
        <v>0</v>
      </c>
    </row>
    <row r="75" spans="1:24" x14ac:dyDescent="0.25">
      <c r="A75" s="24" t="s">
        <v>69</v>
      </c>
      <c r="B75" s="57" t="s">
        <v>191</v>
      </c>
      <c r="C75" s="37">
        <f t="shared" si="11"/>
        <v>1060000</v>
      </c>
      <c r="D75" s="5">
        <v>60000</v>
      </c>
      <c r="E75" s="5"/>
      <c r="F75" s="5"/>
      <c r="G75" s="5"/>
      <c r="H75" s="5"/>
      <c r="I75" s="5"/>
      <c r="J75" s="5"/>
      <c r="K75" s="5"/>
      <c r="L75" s="5"/>
      <c r="M75" s="6"/>
      <c r="N75" s="5"/>
      <c r="O75" s="70"/>
      <c r="P75" s="5"/>
      <c r="Q75" s="4"/>
      <c r="R75" s="5">
        <v>1000000</v>
      </c>
      <c r="X75">
        <v>60000</v>
      </c>
    </row>
    <row r="76" spans="1:24" ht="28.5" x14ac:dyDescent="0.25">
      <c r="A76" s="24" t="s">
        <v>70</v>
      </c>
      <c r="B76" s="57" t="s">
        <v>192</v>
      </c>
      <c r="C76" s="37">
        <f t="shared" si="11"/>
        <v>4696000</v>
      </c>
      <c r="D76" s="5">
        <v>0</v>
      </c>
      <c r="E76" s="5">
        <v>60000</v>
      </c>
      <c r="F76" s="5">
        <v>36000</v>
      </c>
      <c r="G76" s="5">
        <v>0</v>
      </c>
      <c r="H76" s="5">
        <v>90000</v>
      </c>
      <c r="I76" s="5">
        <v>600000</v>
      </c>
      <c r="J76" s="5">
        <v>0</v>
      </c>
      <c r="K76" s="5">
        <v>300000</v>
      </c>
      <c r="L76" s="5">
        <v>0</v>
      </c>
      <c r="M76" s="6">
        <v>0</v>
      </c>
      <c r="N76" s="5">
        <v>0</v>
      </c>
      <c r="O76" s="70">
        <v>100000</v>
      </c>
      <c r="P76" s="5">
        <v>0</v>
      </c>
      <c r="Q76" s="4">
        <v>240000</v>
      </c>
      <c r="R76" s="5">
        <f>4570000-1000000-300000</f>
        <v>3270000</v>
      </c>
      <c r="X76">
        <v>0</v>
      </c>
    </row>
    <row r="77" spans="1:24" x14ac:dyDescent="0.25">
      <c r="A77" s="24" t="s">
        <v>71</v>
      </c>
      <c r="B77" s="57" t="s">
        <v>193</v>
      </c>
      <c r="C77" s="37">
        <f t="shared" si="11"/>
        <v>346000</v>
      </c>
      <c r="D77" s="5">
        <v>30000</v>
      </c>
      <c r="E77" s="5">
        <v>30000</v>
      </c>
      <c r="F77" s="5">
        <v>12000</v>
      </c>
      <c r="G77" s="5">
        <v>0</v>
      </c>
      <c r="H77" s="5">
        <v>0</v>
      </c>
      <c r="I77" s="5">
        <v>50000</v>
      </c>
      <c r="J77" s="5">
        <v>0</v>
      </c>
      <c r="K77" s="5">
        <v>30000</v>
      </c>
      <c r="L77" s="5">
        <v>0</v>
      </c>
      <c r="M77" s="6">
        <v>30000</v>
      </c>
      <c r="N77" s="5">
        <v>63000</v>
      </c>
      <c r="O77" s="70">
        <v>20000</v>
      </c>
      <c r="P77" s="5">
        <v>21000</v>
      </c>
      <c r="Q77" s="4">
        <v>0</v>
      </c>
      <c r="R77" s="5">
        <v>60000</v>
      </c>
      <c r="X77">
        <v>30000</v>
      </c>
    </row>
    <row r="78" spans="1:24" ht="28.5" x14ac:dyDescent="0.25">
      <c r="A78" s="24" t="s">
        <v>72</v>
      </c>
      <c r="B78" s="57" t="s">
        <v>194</v>
      </c>
      <c r="C78" s="37">
        <f t="shared" si="11"/>
        <v>1303000</v>
      </c>
      <c r="D78" s="5">
        <v>50000</v>
      </c>
      <c r="E78" s="5">
        <v>0</v>
      </c>
      <c r="F78" s="5">
        <v>0</v>
      </c>
      <c r="G78" s="5">
        <v>0</v>
      </c>
      <c r="H78" s="5">
        <v>3000</v>
      </c>
      <c r="I78" s="5">
        <v>20000</v>
      </c>
      <c r="J78" s="5">
        <v>0</v>
      </c>
      <c r="K78" s="5">
        <v>0</v>
      </c>
      <c r="L78" s="5">
        <v>0</v>
      </c>
      <c r="M78" s="6">
        <v>0</v>
      </c>
      <c r="N78" s="5">
        <v>10000</v>
      </c>
      <c r="O78" s="70">
        <v>20000</v>
      </c>
      <c r="P78" s="5">
        <v>0</v>
      </c>
      <c r="Q78" s="4">
        <v>0</v>
      </c>
      <c r="R78" s="5">
        <v>1200000</v>
      </c>
      <c r="X78">
        <v>50000</v>
      </c>
    </row>
    <row r="79" spans="1:24" x14ac:dyDescent="0.25">
      <c r="A79" s="24" t="s">
        <v>73</v>
      </c>
      <c r="B79" s="57" t="s">
        <v>235</v>
      </c>
      <c r="C79" s="37">
        <f t="shared" si="11"/>
        <v>1691000</v>
      </c>
      <c r="D79" s="5">
        <v>96000</v>
      </c>
      <c r="E79" s="5">
        <v>0</v>
      </c>
      <c r="F79" s="5">
        <v>0</v>
      </c>
      <c r="G79" s="5">
        <v>60000</v>
      </c>
      <c r="H79" s="5">
        <v>0</v>
      </c>
      <c r="I79" s="5">
        <v>0</v>
      </c>
      <c r="J79" s="5">
        <v>15000</v>
      </c>
      <c r="K79" s="5">
        <v>0</v>
      </c>
      <c r="L79" s="5">
        <v>0</v>
      </c>
      <c r="M79" s="6">
        <v>0</v>
      </c>
      <c r="N79" s="5">
        <v>20000</v>
      </c>
      <c r="O79" s="70">
        <v>0</v>
      </c>
      <c r="P79" s="5">
        <v>0</v>
      </c>
      <c r="Q79" s="4">
        <v>0</v>
      </c>
      <c r="R79" s="5">
        <v>1500000</v>
      </c>
      <c r="X79">
        <v>96000</v>
      </c>
    </row>
    <row r="80" spans="1:24" x14ac:dyDescent="0.25">
      <c r="A80" s="24" t="s">
        <v>74</v>
      </c>
      <c r="B80" s="57" t="s">
        <v>195</v>
      </c>
      <c r="C80" s="37">
        <f t="shared" si="11"/>
        <v>210000</v>
      </c>
      <c r="D80" s="5">
        <v>0</v>
      </c>
      <c r="E80" s="5">
        <v>120000</v>
      </c>
      <c r="F80" s="5">
        <v>0</v>
      </c>
      <c r="G80" s="5"/>
      <c r="H80" s="5">
        <v>0</v>
      </c>
      <c r="I80" s="5">
        <v>0</v>
      </c>
      <c r="J80" s="5">
        <v>0</v>
      </c>
      <c r="K80" s="5">
        <v>54000</v>
      </c>
      <c r="L80" s="5">
        <v>0</v>
      </c>
      <c r="M80" s="6">
        <v>0</v>
      </c>
      <c r="N80" s="5">
        <v>0</v>
      </c>
      <c r="O80" s="70">
        <v>36000</v>
      </c>
      <c r="P80" s="5">
        <v>0</v>
      </c>
      <c r="Q80" s="4">
        <v>0</v>
      </c>
      <c r="R80" s="5">
        <v>0</v>
      </c>
      <c r="X80">
        <v>0</v>
      </c>
    </row>
    <row r="81" spans="1:24" x14ac:dyDescent="0.25">
      <c r="A81" s="24" t="s">
        <v>75</v>
      </c>
      <c r="B81" s="57" t="s">
        <v>196</v>
      </c>
      <c r="C81" s="37">
        <f t="shared" si="11"/>
        <v>980000</v>
      </c>
      <c r="D81" s="5">
        <v>0</v>
      </c>
      <c r="E81" s="5">
        <v>0</v>
      </c>
      <c r="F81" s="5">
        <v>30000</v>
      </c>
      <c r="G81" s="5"/>
      <c r="H81" s="5">
        <v>0</v>
      </c>
      <c r="I81" s="5">
        <v>250000</v>
      </c>
      <c r="J81" s="5">
        <v>0</v>
      </c>
      <c r="K81" s="5">
        <v>100000</v>
      </c>
      <c r="L81" s="5">
        <v>0</v>
      </c>
      <c r="M81" s="6">
        <v>0</v>
      </c>
      <c r="N81" s="5">
        <v>0</v>
      </c>
      <c r="O81" s="70">
        <v>0</v>
      </c>
      <c r="P81" s="5">
        <v>0</v>
      </c>
      <c r="Q81" s="8">
        <v>0</v>
      </c>
      <c r="R81" s="5">
        <v>600000</v>
      </c>
      <c r="X81">
        <v>0</v>
      </c>
    </row>
    <row r="82" spans="1:24" x14ac:dyDescent="0.25">
      <c r="A82" s="24" t="s">
        <v>76</v>
      </c>
      <c r="B82" s="57" t="s">
        <v>197</v>
      </c>
      <c r="C82" s="37">
        <f t="shared" si="11"/>
        <v>817500</v>
      </c>
      <c r="D82" s="5">
        <v>120000</v>
      </c>
      <c r="E82" s="5">
        <v>0</v>
      </c>
      <c r="F82" s="5">
        <v>10000</v>
      </c>
      <c r="G82" s="5">
        <v>30000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6">
        <v>30000</v>
      </c>
      <c r="N82" s="5">
        <v>103500</v>
      </c>
      <c r="O82" s="70">
        <v>24000</v>
      </c>
      <c r="P82" s="5">
        <v>0</v>
      </c>
      <c r="Q82" s="4">
        <v>0</v>
      </c>
      <c r="R82" s="5">
        <v>500000</v>
      </c>
      <c r="X82">
        <v>120000</v>
      </c>
    </row>
    <row r="83" spans="1:24" x14ac:dyDescent="0.25">
      <c r="A83" s="24" t="s">
        <v>77</v>
      </c>
      <c r="B83" s="57" t="s">
        <v>198</v>
      </c>
      <c r="C83" s="37">
        <f t="shared" si="11"/>
        <v>80000</v>
      </c>
      <c r="D83" s="5">
        <v>0</v>
      </c>
      <c r="E83" s="5">
        <v>0</v>
      </c>
      <c r="F83" s="5">
        <v>10000</v>
      </c>
      <c r="G83" s="5"/>
      <c r="H83" s="5">
        <v>60000</v>
      </c>
      <c r="I83" s="5">
        <v>0</v>
      </c>
      <c r="J83" s="5">
        <v>0</v>
      </c>
      <c r="K83" s="5">
        <v>0</v>
      </c>
      <c r="L83" s="5">
        <v>0</v>
      </c>
      <c r="M83" s="6">
        <v>10000</v>
      </c>
      <c r="N83" s="5">
        <v>0</v>
      </c>
      <c r="O83" s="70">
        <v>0</v>
      </c>
      <c r="P83" s="5">
        <v>0</v>
      </c>
      <c r="Q83" s="4">
        <v>0</v>
      </c>
      <c r="R83" s="5">
        <v>0</v>
      </c>
      <c r="X83">
        <v>0</v>
      </c>
    </row>
    <row r="84" spans="1:24" x14ac:dyDescent="0.25">
      <c r="A84" s="24" t="s">
        <v>78</v>
      </c>
      <c r="B84" s="57" t="s">
        <v>199</v>
      </c>
      <c r="C84" s="37">
        <f t="shared" si="11"/>
        <v>215200</v>
      </c>
      <c r="D84" s="5">
        <v>60000</v>
      </c>
      <c r="E84" s="5">
        <v>20000</v>
      </c>
      <c r="F84" s="5">
        <v>0</v>
      </c>
      <c r="G84" s="5">
        <v>30000</v>
      </c>
      <c r="H84" s="5">
        <v>30000</v>
      </c>
      <c r="I84" s="5">
        <v>0</v>
      </c>
      <c r="J84" s="5">
        <v>0</v>
      </c>
      <c r="K84" s="5">
        <v>0</v>
      </c>
      <c r="L84" s="5">
        <v>0</v>
      </c>
      <c r="M84" s="6">
        <v>20000</v>
      </c>
      <c r="N84" s="5">
        <v>19200</v>
      </c>
      <c r="O84" s="70">
        <v>0</v>
      </c>
      <c r="P84" s="5">
        <v>24000</v>
      </c>
      <c r="Q84" s="4">
        <v>12000</v>
      </c>
      <c r="R84" s="5">
        <v>0</v>
      </c>
      <c r="X84">
        <v>60000</v>
      </c>
    </row>
    <row r="85" spans="1:24" x14ac:dyDescent="0.25">
      <c r="A85" s="27" t="s">
        <v>79</v>
      </c>
      <c r="B85" s="58" t="s">
        <v>200</v>
      </c>
      <c r="C85" s="37">
        <f t="shared" si="11"/>
        <v>1040000</v>
      </c>
      <c r="D85" s="5">
        <v>150000</v>
      </c>
      <c r="E85" s="5">
        <v>25000</v>
      </c>
      <c r="F85" s="5">
        <v>30000</v>
      </c>
      <c r="G85" s="5">
        <v>30000</v>
      </c>
      <c r="H85" s="5">
        <v>36000</v>
      </c>
      <c r="I85" s="5">
        <v>20000</v>
      </c>
      <c r="J85" s="5">
        <v>20000</v>
      </c>
      <c r="K85" s="5">
        <v>25000</v>
      </c>
      <c r="L85" s="5">
        <v>120000</v>
      </c>
      <c r="M85" s="6">
        <v>50000</v>
      </c>
      <c r="N85" s="5">
        <v>70000</v>
      </c>
      <c r="O85" s="70">
        <v>50000</v>
      </c>
      <c r="P85" s="5">
        <v>250000</v>
      </c>
      <c r="Q85" s="4">
        <v>24000</v>
      </c>
      <c r="R85" s="5">
        <v>140000</v>
      </c>
      <c r="X85">
        <v>150000</v>
      </c>
    </row>
    <row r="86" spans="1:24" x14ac:dyDescent="0.25">
      <c r="A86" s="27" t="s">
        <v>80</v>
      </c>
      <c r="B86" s="58" t="s">
        <v>201</v>
      </c>
      <c r="C86" s="37">
        <f t="shared" si="11"/>
        <v>103600</v>
      </c>
      <c r="D86" s="5">
        <v>0</v>
      </c>
      <c r="E86" s="5">
        <v>0</v>
      </c>
      <c r="F86" s="5">
        <v>0</v>
      </c>
      <c r="G86" s="5"/>
      <c r="H86" s="5"/>
      <c r="I86" s="5">
        <v>80000</v>
      </c>
      <c r="J86" s="5">
        <v>20000</v>
      </c>
      <c r="K86" s="5">
        <v>0</v>
      </c>
      <c r="L86" s="5">
        <v>0</v>
      </c>
      <c r="M86" s="6">
        <v>0</v>
      </c>
      <c r="N86" s="5">
        <v>3600</v>
      </c>
      <c r="O86" s="70">
        <v>0</v>
      </c>
      <c r="P86" s="5"/>
      <c r="Q86" s="179">
        <v>0</v>
      </c>
      <c r="R86" s="5">
        <v>0</v>
      </c>
      <c r="X86">
        <v>0</v>
      </c>
    </row>
    <row r="87" spans="1:24" x14ac:dyDescent="0.25">
      <c r="A87" s="133" t="s">
        <v>118</v>
      </c>
      <c r="B87" s="58" t="s">
        <v>202</v>
      </c>
      <c r="C87" s="37">
        <f t="shared" si="11"/>
        <v>180000</v>
      </c>
      <c r="D87" s="5">
        <v>0</v>
      </c>
      <c r="E87" s="5">
        <v>0</v>
      </c>
      <c r="F87" s="5">
        <v>0</v>
      </c>
      <c r="G87" s="5"/>
      <c r="H87" s="5"/>
      <c r="I87" s="5">
        <v>0</v>
      </c>
      <c r="J87" s="5">
        <v>0</v>
      </c>
      <c r="K87" s="5">
        <v>0</v>
      </c>
      <c r="L87" s="5"/>
      <c r="M87" s="6">
        <v>0</v>
      </c>
      <c r="N87" s="5">
        <v>180000</v>
      </c>
      <c r="O87" s="70">
        <v>0</v>
      </c>
      <c r="P87" s="5"/>
      <c r="Q87" s="4">
        <v>0</v>
      </c>
      <c r="R87" s="5">
        <v>0</v>
      </c>
      <c r="X87">
        <v>0</v>
      </c>
    </row>
    <row r="88" spans="1:24" x14ac:dyDescent="0.25">
      <c r="A88" s="31">
        <v>2.4</v>
      </c>
      <c r="B88" s="47" t="s">
        <v>203</v>
      </c>
      <c r="C88" s="37">
        <f t="shared" si="11"/>
        <v>38912567</v>
      </c>
      <c r="D88" s="37">
        <f>D89+D99+D100+D101+D102+D103+D104+D105+D106+D107</f>
        <v>8800000</v>
      </c>
      <c r="E88" s="37">
        <f t="shared" ref="E88:R88" si="12">E89+E99+E100+E101+E102+E103+E104+E105+E106+E107</f>
        <v>1198000</v>
      </c>
      <c r="F88" s="37">
        <f>F89+F99+F100+F101+F102+F103+F104+F105+F106+F107</f>
        <v>1090000</v>
      </c>
      <c r="G88" s="37">
        <f>G89+G99+G100+G101+G102+G103+G104+G105+G106+G107</f>
        <v>1110490</v>
      </c>
      <c r="H88" s="37">
        <f>H89+H99+H100+H101+H102+H103+H104+H105+H106+H107</f>
        <v>630000</v>
      </c>
      <c r="I88" s="37">
        <f t="shared" si="12"/>
        <v>4180000</v>
      </c>
      <c r="J88" s="37">
        <f t="shared" si="12"/>
        <v>146000</v>
      </c>
      <c r="K88" s="37">
        <f t="shared" si="12"/>
        <v>405000</v>
      </c>
      <c r="L88" s="37">
        <f t="shared" si="12"/>
        <v>658800</v>
      </c>
      <c r="M88" s="37">
        <f t="shared" si="12"/>
        <v>5790000</v>
      </c>
      <c r="N88" s="37">
        <f t="shared" si="12"/>
        <v>7438277</v>
      </c>
      <c r="O88" s="37">
        <f t="shared" si="12"/>
        <v>3000000</v>
      </c>
      <c r="P88" s="37">
        <f t="shared" si="12"/>
        <v>3920000</v>
      </c>
      <c r="Q88" s="37">
        <f t="shared" si="12"/>
        <v>546000</v>
      </c>
      <c r="R88" s="37">
        <f t="shared" si="12"/>
        <v>0</v>
      </c>
      <c r="S88" s="86">
        <f>C89+C99+C100+C101+C102+C103+C104+C105+C106+C107</f>
        <v>38912567</v>
      </c>
    </row>
    <row r="89" spans="1:24" ht="30" x14ac:dyDescent="0.25">
      <c r="A89" s="24" t="s">
        <v>81</v>
      </c>
      <c r="B89" s="59" t="s">
        <v>204</v>
      </c>
      <c r="C89" s="37">
        <f t="shared" si="11"/>
        <v>25674467</v>
      </c>
      <c r="D89" s="37">
        <f>D90+D91+D92+D93+D94+D95+D96+D97+D98</f>
        <v>5000000</v>
      </c>
      <c r="E89" s="37">
        <f t="shared" ref="E89:Q89" si="13">E90+E91+E92+E93+E94+E95+E96+E97+E98</f>
        <v>600000</v>
      </c>
      <c r="F89" s="37">
        <f t="shared" si="13"/>
        <v>680000</v>
      </c>
      <c r="G89" s="37">
        <f t="shared" si="13"/>
        <v>1030490</v>
      </c>
      <c r="H89" s="37">
        <f t="shared" si="13"/>
        <v>330000</v>
      </c>
      <c r="I89" s="37">
        <f t="shared" si="13"/>
        <v>2950000</v>
      </c>
      <c r="J89" s="37">
        <f t="shared" si="13"/>
        <v>60000</v>
      </c>
      <c r="K89" s="37">
        <f t="shared" si="13"/>
        <v>60000</v>
      </c>
      <c r="L89" s="37">
        <f t="shared" si="13"/>
        <v>198000</v>
      </c>
      <c r="M89" s="37">
        <f t="shared" si="13"/>
        <v>2840000</v>
      </c>
      <c r="N89" s="37">
        <f t="shared" si="13"/>
        <v>5155977</v>
      </c>
      <c r="O89" s="37">
        <f t="shared" si="13"/>
        <v>2750000</v>
      </c>
      <c r="P89" s="37">
        <f t="shared" si="13"/>
        <v>3600000</v>
      </c>
      <c r="Q89" s="37">
        <f t="shared" si="13"/>
        <v>420000</v>
      </c>
      <c r="R89" s="37">
        <f>R90+R91+R92+R93+R94+R95+R96+R97+R98</f>
        <v>0</v>
      </c>
    </row>
    <row r="90" spans="1:24" x14ac:dyDescent="0.25">
      <c r="A90" s="24" t="s">
        <v>82</v>
      </c>
      <c r="B90" s="49" t="s">
        <v>205</v>
      </c>
      <c r="C90" s="37">
        <f t="shared" si="11"/>
        <v>3010000</v>
      </c>
      <c r="D90" s="5">
        <v>2000000</v>
      </c>
      <c r="E90" s="5">
        <v>600000</v>
      </c>
      <c r="F90" s="5"/>
      <c r="G90" s="5"/>
      <c r="H90" s="5"/>
      <c r="I90" s="5">
        <v>150000</v>
      </c>
      <c r="J90" s="5">
        <v>60000</v>
      </c>
      <c r="K90" s="5">
        <v>0</v>
      </c>
      <c r="L90" s="5">
        <v>0</v>
      </c>
      <c r="M90" s="93">
        <v>200000</v>
      </c>
      <c r="N90" s="5">
        <v>0</v>
      </c>
      <c r="O90" s="70">
        <v>0</v>
      </c>
      <c r="P90" s="5"/>
      <c r="Q90" s="4"/>
      <c r="R90" s="5"/>
    </row>
    <row r="91" spans="1:24" x14ac:dyDescent="0.25">
      <c r="A91" s="24" t="s">
        <v>83</v>
      </c>
      <c r="B91" s="49" t="s">
        <v>206</v>
      </c>
      <c r="C91" s="37">
        <f t="shared" si="11"/>
        <v>14859467</v>
      </c>
      <c r="D91" s="5">
        <v>0</v>
      </c>
      <c r="E91" s="5">
        <v>0</v>
      </c>
      <c r="F91" s="5">
        <v>300000</v>
      </c>
      <c r="G91" s="5">
        <v>950490</v>
      </c>
      <c r="H91" s="5">
        <v>180000</v>
      </c>
      <c r="I91" s="5">
        <v>2800000</v>
      </c>
      <c r="J91" s="5">
        <v>0</v>
      </c>
      <c r="K91" s="5">
        <v>60000</v>
      </c>
      <c r="L91" s="5">
        <v>198000</v>
      </c>
      <c r="M91" s="93">
        <v>2240000</v>
      </c>
      <c r="N91" s="5">
        <v>1420977</v>
      </c>
      <c r="O91" s="70">
        <v>2750000</v>
      </c>
      <c r="P91" s="5">
        <v>3600000</v>
      </c>
      <c r="Q91" s="4">
        <v>360000</v>
      </c>
      <c r="R91" s="5"/>
    </row>
    <row r="92" spans="1:24" x14ac:dyDescent="0.25">
      <c r="A92" s="24" t="s">
        <v>84</v>
      </c>
      <c r="B92" s="49" t="s">
        <v>207</v>
      </c>
      <c r="C92" s="37">
        <f t="shared" si="11"/>
        <v>200000</v>
      </c>
      <c r="D92" s="5">
        <v>200000</v>
      </c>
      <c r="E92" s="5">
        <v>0</v>
      </c>
      <c r="F92" s="5">
        <v>0</v>
      </c>
      <c r="G92" s="5"/>
      <c r="H92" s="5">
        <v>0</v>
      </c>
      <c r="I92" s="5">
        <v>0</v>
      </c>
      <c r="J92" s="5">
        <v>0</v>
      </c>
      <c r="K92" s="5"/>
      <c r="L92" s="5">
        <v>0</v>
      </c>
      <c r="M92" s="93"/>
      <c r="N92" s="5">
        <v>0</v>
      </c>
      <c r="O92" s="70"/>
      <c r="P92" s="5"/>
      <c r="Q92" s="4"/>
      <c r="R92" s="5"/>
    </row>
    <row r="93" spans="1:24" x14ac:dyDescent="0.25">
      <c r="A93" s="24" t="s">
        <v>85</v>
      </c>
      <c r="B93" s="49" t="s">
        <v>208</v>
      </c>
      <c r="C93" s="37">
        <f t="shared" si="11"/>
        <v>2110000</v>
      </c>
      <c r="D93" s="5">
        <v>2000000</v>
      </c>
      <c r="E93" s="5">
        <v>0</v>
      </c>
      <c r="F93" s="5">
        <v>50000</v>
      </c>
      <c r="G93" s="5"/>
      <c r="H93" s="5">
        <v>60000</v>
      </c>
      <c r="I93" s="5">
        <v>0</v>
      </c>
      <c r="J93" s="5">
        <v>0</v>
      </c>
      <c r="K93" s="5"/>
      <c r="L93" s="5">
        <v>0</v>
      </c>
      <c r="M93" s="93"/>
      <c r="N93" s="5">
        <v>0</v>
      </c>
      <c r="O93" s="70"/>
      <c r="P93" s="5"/>
      <c r="Q93" s="4"/>
      <c r="R93" s="5"/>
    </row>
    <row r="94" spans="1:24" x14ac:dyDescent="0.25">
      <c r="A94" s="24" t="s">
        <v>86</v>
      </c>
      <c r="B94" s="49" t="s">
        <v>209</v>
      </c>
      <c r="C94" s="37">
        <f t="shared" si="11"/>
        <v>210000</v>
      </c>
      <c r="D94" s="5">
        <v>200000</v>
      </c>
      <c r="E94" s="5">
        <v>0</v>
      </c>
      <c r="F94" s="5">
        <v>10000</v>
      </c>
      <c r="G94" s="5"/>
      <c r="H94" s="5">
        <v>0</v>
      </c>
      <c r="I94" s="5">
        <v>0</v>
      </c>
      <c r="J94" s="5">
        <v>0</v>
      </c>
      <c r="K94" s="5"/>
      <c r="L94" s="5">
        <v>0</v>
      </c>
      <c r="M94" s="93"/>
      <c r="N94" s="5">
        <v>0</v>
      </c>
      <c r="O94" s="70"/>
      <c r="P94" s="5"/>
      <c r="Q94" s="4"/>
      <c r="R94" s="5"/>
    </row>
    <row r="95" spans="1:24" x14ac:dyDescent="0.25">
      <c r="A95" s="24" t="s">
        <v>87</v>
      </c>
      <c r="B95" s="49" t="s">
        <v>210</v>
      </c>
      <c r="C95" s="37">
        <f t="shared" si="11"/>
        <v>50000</v>
      </c>
      <c r="D95" s="5">
        <v>0</v>
      </c>
      <c r="E95" s="5">
        <v>0</v>
      </c>
      <c r="F95" s="5">
        <v>50000</v>
      </c>
      <c r="G95" s="5"/>
      <c r="H95" s="5">
        <v>0</v>
      </c>
      <c r="I95" s="5">
        <v>0</v>
      </c>
      <c r="J95" s="5">
        <v>0</v>
      </c>
      <c r="K95" s="5"/>
      <c r="L95" s="5">
        <v>0</v>
      </c>
      <c r="M95" s="93"/>
      <c r="N95" s="5">
        <v>0</v>
      </c>
      <c r="O95" s="70"/>
      <c r="P95" s="5"/>
      <c r="Q95" s="4"/>
      <c r="R95" s="5"/>
    </row>
    <row r="96" spans="1:24" x14ac:dyDescent="0.25">
      <c r="A96" s="24" t="s">
        <v>88</v>
      </c>
      <c r="B96" s="49" t="s">
        <v>211</v>
      </c>
      <c r="C96" s="37">
        <f t="shared" si="11"/>
        <v>425000</v>
      </c>
      <c r="D96" s="5">
        <v>300000</v>
      </c>
      <c r="E96" s="5">
        <v>0</v>
      </c>
      <c r="F96" s="5">
        <v>20000</v>
      </c>
      <c r="G96" s="5"/>
      <c r="H96" s="5">
        <v>0</v>
      </c>
      <c r="I96" s="5">
        <v>0</v>
      </c>
      <c r="J96" s="5">
        <v>0</v>
      </c>
      <c r="K96" s="5"/>
      <c r="L96" s="5">
        <v>0</v>
      </c>
      <c r="M96" s="93"/>
      <c r="N96" s="5">
        <v>105000</v>
      </c>
      <c r="O96" s="70"/>
      <c r="P96" s="5"/>
      <c r="Q96" s="4"/>
      <c r="R96" s="5"/>
    </row>
    <row r="97" spans="1:18" x14ac:dyDescent="0.25">
      <c r="A97" s="24" t="s">
        <v>89</v>
      </c>
      <c r="B97" s="49" t="s">
        <v>212</v>
      </c>
      <c r="C97" s="37">
        <f t="shared" si="11"/>
        <v>4600600</v>
      </c>
      <c r="D97" s="5">
        <v>300000</v>
      </c>
      <c r="E97" s="5">
        <v>0</v>
      </c>
      <c r="F97" s="5">
        <v>250000</v>
      </c>
      <c r="G97" s="5">
        <v>80000</v>
      </c>
      <c r="H97" s="5">
        <v>90000</v>
      </c>
      <c r="I97" s="5">
        <v>0</v>
      </c>
      <c r="J97" s="5">
        <v>0</v>
      </c>
      <c r="K97" s="5"/>
      <c r="L97" s="5">
        <v>0</v>
      </c>
      <c r="M97" s="93">
        <v>400000</v>
      </c>
      <c r="N97" s="5">
        <v>3420600</v>
      </c>
      <c r="O97" s="70"/>
      <c r="P97" s="5"/>
      <c r="Q97" s="4">
        <v>60000</v>
      </c>
      <c r="R97" s="5"/>
    </row>
    <row r="98" spans="1:18" ht="28.5" x14ac:dyDescent="0.25">
      <c r="A98" s="24" t="s">
        <v>90</v>
      </c>
      <c r="B98" s="50" t="s">
        <v>213</v>
      </c>
      <c r="C98" s="37">
        <f t="shared" si="11"/>
        <v>209400</v>
      </c>
      <c r="D98" s="5">
        <v>0</v>
      </c>
      <c r="E98" s="5">
        <v>0</v>
      </c>
      <c r="F98" s="5">
        <v>0</v>
      </c>
      <c r="G98" s="5"/>
      <c r="H98" s="5">
        <v>0</v>
      </c>
      <c r="I98" s="5">
        <v>0</v>
      </c>
      <c r="J98" s="5">
        <v>0</v>
      </c>
      <c r="K98" s="5"/>
      <c r="L98" s="5">
        <v>0</v>
      </c>
      <c r="M98" s="93">
        <v>0</v>
      </c>
      <c r="N98" s="5">
        <v>209400</v>
      </c>
      <c r="O98" s="70"/>
      <c r="P98" s="5"/>
      <c r="Q98" s="4">
        <v>0</v>
      </c>
      <c r="R98" s="5"/>
    </row>
    <row r="99" spans="1:18" x14ac:dyDescent="0.25">
      <c r="A99" s="24" t="s">
        <v>91</v>
      </c>
      <c r="B99" s="60" t="s">
        <v>214</v>
      </c>
      <c r="C99" s="37">
        <f t="shared" si="11"/>
        <v>1887000</v>
      </c>
      <c r="D99" s="12">
        <v>0</v>
      </c>
      <c r="E99" s="12">
        <v>30000</v>
      </c>
      <c r="F99" s="12">
        <f>300000-200000</f>
        <v>100000</v>
      </c>
      <c r="G99" s="12">
        <v>50000</v>
      </c>
      <c r="H99" s="12">
        <v>120000</v>
      </c>
      <c r="I99" s="12">
        <f>1200000-400000</f>
        <v>800000</v>
      </c>
      <c r="J99" s="12">
        <v>20000</v>
      </c>
      <c r="K99" s="12">
        <v>45000</v>
      </c>
      <c r="L99" s="12">
        <v>150000</v>
      </c>
      <c r="M99" s="13"/>
      <c r="N99" s="12">
        <f>500000-200000</f>
        <v>300000</v>
      </c>
      <c r="O99" s="80"/>
      <c r="P99" s="12">
        <v>200000</v>
      </c>
      <c r="Q99" s="4">
        <v>72000</v>
      </c>
      <c r="R99" s="5"/>
    </row>
    <row r="100" spans="1:18" x14ac:dyDescent="0.25">
      <c r="A100" s="24" t="s">
        <v>92</v>
      </c>
      <c r="B100" s="60" t="s">
        <v>215</v>
      </c>
      <c r="C100" s="37">
        <f t="shared" si="11"/>
        <v>0</v>
      </c>
      <c r="D100" s="12">
        <v>0</v>
      </c>
      <c r="E100" s="12">
        <v>0</v>
      </c>
      <c r="F100" s="12">
        <v>0</v>
      </c>
      <c r="G100" s="12"/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3"/>
      <c r="N100" s="12">
        <v>0</v>
      </c>
      <c r="O100" s="80"/>
      <c r="P100" s="12"/>
      <c r="Q100" s="4">
        <v>0</v>
      </c>
      <c r="R100" s="5"/>
    </row>
    <row r="101" spans="1:18" x14ac:dyDescent="0.25">
      <c r="A101" s="24" t="s">
        <v>93</v>
      </c>
      <c r="B101" s="60" t="s">
        <v>216</v>
      </c>
      <c r="C101" s="37">
        <f t="shared" si="11"/>
        <v>1567100</v>
      </c>
      <c r="D101" s="12">
        <v>200000</v>
      </c>
      <c r="E101" s="12">
        <v>18000</v>
      </c>
      <c r="F101" s="12">
        <v>90000</v>
      </c>
      <c r="G101" s="12">
        <v>30000</v>
      </c>
      <c r="H101" s="12">
        <v>120000</v>
      </c>
      <c r="I101" s="12">
        <v>180000</v>
      </c>
      <c r="J101" s="12">
        <v>6000</v>
      </c>
      <c r="K101" s="12">
        <v>300000</v>
      </c>
      <c r="L101" s="12">
        <v>100800</v>
      </c>
      <c r="M101" s="13">
        <v>50000</v>
      </c>
      <c r="N101" s="12">
        <v>66300</v>
      </c>
      <c r="O101" s="80">
        <v>250000</v>
      </c>
      <c r="P101" s="12">
        <v>120000</v>
      </c>
      <c r="Q101" s="4">
        <v>36000</v>
      </c>
      <c r="R101" s="5"/>
    </row>
    <row r="102" spans="1:18" x14ac:dyDescent="0.25">
      <c r="A102" s="27" t="s">
        <v>94</v>
      </c>
      <c r="B102" s="61" t="s">
        <v>217</v>
      </c>
      <c r="C102" s="37">
        <f t="shared" si="11"/>
        <v>1124600</v>
      </c>
      <c r="D102" s="12">
        <v>0</v>
      </c>
      <c r="E102" s="12">
        <v>50000</v>
      </c>
      <c r="F102" s="12">
        <v>100000</v>
      </c>
      <c r="G102" s="12"/>
      <c r="H102" s="12">
        <v>60000</v>
      </c>
      <c r="I102" s="12">
        <v>150000</v>
      </c>
      <c r="J102" s="12">
        <v>60000</v>
      </c>
      <c r="K102" s="12"/>
      <c r="L102" s="12">
        <v>0</v>
      </c>
      <c r="M102" s="13"/>
      <c r="N102" s="12">
        <v>686600</v>
      </c>
      <c r="O102" s="80"/>
      <c r="P102" s="12"/>
      <c r="Q102" s="4">
        <v>18000</v>
      </c>
      <c r="R102" s="5"/>
    </row>
    <row r="103" spans="1:18" x14ac:dyDescent="0.25">
      <c r="A103" s="27" t="s">
        <v>95</v>
      </c>
      <c r="B103" s="61" t="s">
        <v>218</v>
      </c>
      <c r="C103" s="37">
        <f t="shared" si="11"/>
        <v>0</v>
      </c>
      <c r="D103" s="12">
        <v>0</v>
      </c>
      <c r="E103" s="12">
        <v>0</v>
      </c>
      <c r="F103" s="12">
        <v>0</v>
      </c>
      <c r="G103" s="12"/>
      <c r="H103" s="12">
        <v>0</v>
      </c>
      <c r="I103" s="12">
        <v>0</v>
      </c>
      <c r="J103" s="12">
        <v>0</v>
      </c>
      <c r="K103" s="12"/>
      <c r="L103" s="12">
        <v>0</v>
      </c>
      <c r="M103" s="13"/>
      <c r="N103" s="12">
        <v>0</v>
      </c>
      <c r="O103" s="80"/>
      <c r="P103" s="12"/>
      <c r="Q103" s="4"/>
      <c r="R103" s="5"/>
    </row>
    <row r="104" spans="1:18" x14ac:dyDescent="0.25">
      <c r="A104" s="27" t="s">
        <v>97</v>
      </c>
      <c r="B104" s="61" t="s">
        <v>219</v>
      </c>
      <c r="C104" s="37">
        <f t="shared" si="11"/>
        <v>575400</v>
      </c>
      <c r="D104" s="12">
        <v>0</v>
      </c>
      <c r="E104" s="12">
        <v>0</v>
      </c>
      <c r="F104" s="12">
        <v>0</v>
      </c>
      <c r="G104" s="12"/>
      <c r="H104" s="12">
        <v>0</v>
      </c>
      <c r="I104" s="12">
        <v>100000</v>
      </c>
      <c r="J104" s="12">
        <v>0</v>
      </c>
      <c r="K104" s="12"/>
      <c r="L104" s="12">
        <v>0</v>
      </c>
      <c r="M104" s="13"/>
      <c r="N104" s="12">
        <v>475400</v>
      </c>
      <c r="O104" s="80"/>
      <c r="P104" s="12"/>
      <c r="Q104" s="4"/>
      <c r="R104" s="5"/>
    </row>
    <row r="105" spans="1:18" s="1" customFormat="1" ht="22.5" x14ac:dyDescent="0.25">
      <c r="A105" s="28" t="s">
        <v>116</v>
      </c>
      <c r="B105" s="95" t="s">
        <v>249</v>
      </c>
      <c r="C105" s="37">
        <f t="shared" si="11"/>
        <v>200000</v>
      </c>
      <c r="D105" s="12"/>
      <c r="E105" s="129"/>
      <c r="F105" s="12"/>
      <c r="G105" s="12"/>
      <c r="H105" s="12">
        <v>0</v>
      </c>
      <c r="I105" s="12"/>
      <c r="J105" s="12">
        <v>0</v>
      </c>
      <c r="K105" s="12"/>
      <c r="L105" s="12"/>
      <c r="M105" s="13">
        <v>200000</v>
      </c>
      <c r="N105" s="12">
        <v>0</v>
      </c>
      <c r="O105" s="80"/>
      <c r="P105" s="12"/>
      <c r="Q105" s="4"/>
      <c r="R105" s="5"/>
    </row>
    <row r="106" spans="1:18" s="1" customFormat="1" ht="22.5" x14ac:dyDescent="0.25">
      <c r="A106" s="28" t="s">
        <v>117</v>
      </c>
      <c r="B106" s="96" t="s">
        <v>250</v>
      </c>
      <c r="C106" s="37">
        <f t="shared" si="11"/>
        <v>2700000</v>
      </c>
      <c r="D106" s="12"/>
      <c r="E106" s="129"/>
      <c r="F106" s="12"/>
      <c r="G106" s="12"/>
      <c r="H106" s="12"/>
      <c r="I106" s="12"/>
      <c r="J106" s="12">
        <v>0</v>
      </c>
      <c r="K106" s="12"/>
      <c r="L106" s="12"/>
      <c r="M106" s="13">
        <v>2700000</v>
      </c>
      <c r="N106" s="12">
        <v>0</v>
      </c>
      <c r="O106" s="80"/>
      <c r="P106" s="12"/>
      <c r="Q106" s="37"/>
      <c r="R106" s="5"/>
    </row>
    <row r="107" spans="1:18" ht="30" x14ac:dyDescent="0.25">
      <c r="A107" s="28" t="s">
        <v>98</v>
      </c>
      <c r="B107" s="62" t="s">
        <v>233</v>
      </c>
      <c r="C107" s="37">
        <f t="shared" si="11"/>
        <v>5184000</v>
      </c>
      <c r="D107" s="37">
        <f>D108+D109+D110+D111+D112+D113</f>
        <v>3600000</v>
      </c>
      <c r="E107" s="37">
        <f t="shared" ref="E107:R107" si="14">E108+E109+E110+E111+E112+E113</f>
        <v>500000</v>
      </c>
      <c r="F107" s="37">
        <f>F108+F109+F110+F111+F112+F113</f>
        <v>120000</v>
      </c>
      <c r="G107" s="37">
        <f t="shared" si="14"/>
        <v>0</v>
      </c>
      <c r="H107" s="37">
        <f t="shared" si="14"/>
        <v>0</v>
      </c>
      <c r="I107" s="37">
        <f t="shared" si="14"/>
        <v>0</v>
      </c>
      <c r="J107" s="37">
        <f t="shared" si="14"/>
        <v>0</v>
      </c>
      <c r="K107" s="37">
        <f t="shared" si="14"/>
        <v>0</v>
      </c>
      <c r="L107" s="37">
        <f t="shared" si="14"/>
        <v>210000</v>
      </c>
      <c r="M107" s="37">
        <f t="shared" si="14"/>
        <v>0</v>
      </c>
      <c r="N107" s="37">
        <f t="shared" si="14"/>
        <v>754000</v>
      </c>
      <c r="O107" s="37">
        <f t="shared" si="14"/>
        <v>0</v>
      </c>
      <c r="P107" s="37">
        <f t="shared" si="14"/>
        <v>0</v>
      </c>
      <c r="Q107" s="37">
        <f t="shared" si="14"/>
        <v>0</v>
      </c>
      <c r="R107" s="37">
        <f t="shared" si="14"/>
        <v>0</v>
      </c>
    </row>
    <row r="108" spans="1:18" x14ac:dyDescent="0.25">
      <c r="A108" s="28" t="s">
        <v>99</v>
      </c>
      <c r="B108" s="58" t="s">
        <v>232</v>
      </c>
      <c r="C108" s="37">
        <f t="shared" si="11"/>
        <v>370000</v>
      </c>
      <c r="D108" s="5">
        <v>350000</v>
      </c>
      <c r="E108" s="12"/>
      <c r="F108" s="5">
        <v>20000</v>
      </c>
      <c r="G108" s="11"/>
      <c r="H108" s="11">
        <v>0</v>
      </c>
      <c r="I108" s="11"/>
      <c r="J108" s="11">
        <v>0</v>
      </c>
      <c r="K108" s="11"/>
      <c r="L108" s="5">
        <v>0</v>
      </c>
      <c r="M108" s="6"/>
      <c r="N108" s="11"/>
      <c r="O108" s="70"/>
      <c r="P108" s="11"/>
      <c r="Q108" s="4"/>
      <c r="R108" s="5"/>
    </row>
    <row r="109" spans="1:18" x14ac:dyDescent="0.25">
      <c r="A109" s="28" t="s">
        <v>100</v>
      </c>
      <c r="B109" s="58"/>
      <c r="C109" s="37">
        <f t="shared" si="11"/>
        <v>0</v>
      </c>
      <c r="D109" s="5"/>
      <c r="E109" s="37"/>
      <c r="F109" s="5"/>
      <c r="G109" s="11"/>
      <c r="H109" s="11"/>
      <c r="I109" s="11"/>
      <c r="J109" s="11">
        <v>0</v>
      </c>
      <c r="K109" s="11"/>
      <c r="L109" s="5">
        <v>0</v>
      </c>
      <c r="M109" s="6"/>
      <c r="N109" s="11"/>
      <c r="O109" s="79"/>
      <c r="P109" s="11"/>
      <c r="Q109" s="4"/>
      <c r="R109" s="5"/>
    </row>
    <row r="110" spans="1:18" x14ac:dyDescent="0.25">
      <c r="A110" s="28" t="s">
        <v>101</v>
      </c>
      <c r="B110" s="58" t="s">
        <v>221</v>
      </c>
      <c r="C110" s="37">
        <f t="shared" si="11"/>
        <v>1960000</v>
      </c>
      <c r="D110" s="5">
        <v>1800000</v>
      </c>
      <c r="E110" s="5"/>
      <c r="F110" s="5">
        <v>100000</v>
      </c>
      <c r="G110" s="11"/>
      <c r="H110" s="11"/>
      <c r="I110" s="11"/>
      <c r="J110" s="11">
        <v>0</v>
      </c>
      <c r="K110" s="11"/>
      <c r="L110" s="5">
        <v>60000</v>
      </c>
      <c r="M110" s="6"/>
      <c r="N110" s="11"/>
      <c r="O110" s="79"/>
      <c r="P110" s="11"/>
      <c r="Q110" s="4"/>
      <c r="R110" s="5"/>
    </row>
    <row r="111" spans="1:18" x14ac:dyDescent="0.25">
      <c r="A111" s="28" t="s">
        <v>102</v>
      </c>
      <c r="B111" s="58" t="s">
        <v>222</v>
      </c>
      <c r="C111" s="37">
        <f t="shared" si="11"/>
        <v>1750000</v>
      </c>
      <c r="D111" s="5">
        <v>1450000</v>
      </c>
      <c r="E111" s="5">
        <v>300000</v>
      </c>
      <c r="F111" s="5"/>
      <c r="G111" s="11"/>
      <c r="H111" s="11"/>
      <c r="I111" s="11"/>
      <c r="J111" s="11">
        <v>0</v>
      </c>
      <c r="K111" s="11"/>
      <c r="L111" s="5">
        <v>0</v>
      </c>
      <c r="M111" s="6"/>
      <c r="N111" s="11"/>
      <c r="O111" s="79"/>
      <c r="P111" s="11"/>
      <c r="Q111" s="4"/>
      <c r="R111" s="5"/>
    </row>
    <row r="112" spans="1:18" x14ac:dyDescent="0.25">
      <c r="A112" s="28" t="s">
        <v>103</v>
      </c>
      <c r="B112" s="58" t="s">
        <v>223</v>
      </c>
      <c r="C112" s="37">
        <f t="shared" si="11"/>
        <v>250000</v>
      </c>
      <c r="D112" s="5">
        <v>0</v>
      </c>
      <c r="E112" s="5">
        <v>100000</v>
      </c>
      <c r="F112" s="5"/>
      <c r="G112" s="11"/>
      <c r="H112" s="11"/>
      <c r="I112" s="11"/>
      <c r="J112" s="11">
        <v>0</v>
      </c>
      <c r="K112" s="11"/>
      <c r="L112" s="5">
        <v>150000</v>
      </c>
      <c r="M112" s="6"/>
      <c r="N112" s="11"/>
      <c r="O112" s="79"/>
      <c r="P112" s="11"/>
      <c r="Q112" s="9"/>
      <c r="R112" s="5"/>
    </row>
    <row r="113" spans="1:19" s="1" customFormat="1" x14ac:dyDescent="0.25">
      <c r="A113" s="134" t="s">
        <v>119</v>
      </c>
      <c r="B113" s="61" t="s">
        <v>251</v>
      </c>
      <c r="C113" s="37">
        <f t="shared" si="11"/>
        <v>854000</v>
      </c>
      <c r="D113" s="5">
        <v>0</v>
      </c>
      <c r="E113" s="5">
        <v>100000</v>
      </c>
      <c r="F113" s="5"/>
      <c r="G113" s="11"/>
      <c r="H113" s="11"/>
      <c r="I113" s="11"/>
      <c r="J113" s="11">
        <v>0</v>
      </c>
      <c r="K113" s="11"/>
      <c r="L113" s="5"/>
      <c r="M113" s="6"/>
      <c r="N113" s="5">
        <v>754000</v>
      </c>
      <c r="O113" s="79"/>
      <c r="P113" s="11"/>
      <c r="Q113" s="9"/>
      <c r="R113" s="5"/>
    </row>
    <row r="114" spans="1:19" ht="30" x14ac:dyDescent="0.25">
      <c r="A114" s="19" t="s">
        <v>104</v>
      </c>
      <c r="B114" s="47" t="s">
        <v>224</v>
      </c>
      <c r="C114" s="37">
        <f t="shared" si="11"/>
        <v>360000</v>
      </c>
      <c r="D114" s="9">
        <f>D115+D116+D117+D118+D119</f>
        <v>200000</v>
      </c>
      <c r="E114" s="5"/>
      <c r="F114" s="9">
        <f>F115+F116+F117+F118+F119</f>
        <v>90000</v>
      </c>
      <c r="G114" s="9"/>
      <c r="H114" s="9">
        <f>H119+H118+H117+H116+H115</f>
        <v>30000</v>
      </c>
      <c r="I114" s="9"/>
      <c r="J114" s="9">
        <f>J115+J116+J117+J118+J119</f>
        <v>40000</v>
      </c>
      <c r="K114" s="9">
        <f>K115+K116+K117+K118+K119</f>
        <v>0</v>
      </c>
      <c r="L114" s="9">
        <f t="shared" ref="L114:R114" si="15">L115+L116+L117+L118+L119</f>
        <v>0</v>
      </c>
      <c r="M114" s="9">
        <f t="shared" si="15"/>
        <v>0</v>
      </c>
      <c r="N114" s="9">
        <f t="shared" si="15"/>
        <v>0</v>
      </c>
      <c r="O114" s="9">
        <f t="shared" si="15"/>
        <v>0</v>
      </c>
      <c r="P114" s="9">
        <f t="shared" si="15"/>
        <v>0</v>
      </c>
      <c r="Q114" s="9">
        <f t="shared" si="15"/>
        <v>0</v>
      </c>
      <c r="R114" s="9">
        <f t="shared" si="15"/>
        <v>0</v>
      </c>
    </row>
    <row r="115" spans="1:19" x14ac:dyDescent="0.25">
      <c r="A115" s="30" t="s">
        <v>105</v>
      </c>
      <c r="B115" s="63" t="s">
        <v>252</v>
      </c>
      <c r="C115" s="37">
        <f t="shared" si="11"/>
        <v>0</v>
      </c>
      <c r="D115" s="92">
        <v>0</v>
      </c>
      <c r="E115" s="5"/>
      <c r="F115" s="92"/>
      <c r="G115" s="14"/>
      <c r="H115" s="14"/>
      <c r="I115" s="14"/>
      <c r="J115" s="14"/>
      <c r="K115" s="14"/>
      <c r="L115" s="92"/>
      <c r="M115" s="6"/>
      <c r="N115" s="14"/>
      <c r="O115" s="81"/>
      <c r="P115" s="14"/>
      <c r="Q115" s="15"/>
      <c r="R115" s="5"/>
    </row>
    <row r="116" spans="1:19" x14ac:dyDescent="0.25">
      <c r="A116" s="30" t="s">
        <v>106</v>
      </c>
      <c r="B116" s="63" t="s">
        <v>225</v>
      </c>
      <c r="C116" s="37">
        <f t="shared" si="11"/>
        <v>0</v>
      </c>
      <c r="D116" s="92"/>
      <c r="E116" s="9"/>
      <c r="F116" s="92"/>
      <c r="G116" s="14"/>
      <c r="H116" s="14"/>
      <c r="I116" s="14"/>
      <c r="J116" s="14"/>
      <c r="K116" s="14"/>
      <c r="L116" s="92"/>
      <c r="M116" s="6"/>
      <c r="N116" s="14"/>
      <c r="O116" s="82"/>
      <c r="P116" s="14"/>
      <c r="Q116" s="15"/>
      <c r="R116" s="5"/>
    </row>
    <row r="117" spans="1:19" x14ac:dyDescent="0.25">
      <c r="A117" s="30" t="s">
        <v>108</v>
      </c>
      <c r="B117" s="63" t="s">
        <v>226</v>
      </c>
      <c r="C117" s="37">
        <f t="shared" si="11"/>
        <v>360000</v>
      </c>
      <c r="D117" s="92">
        <v>200000</v>
      </c>
      <c r="E117" s="92"/>
      <c r="F117" s="92">
        <v>90000</v>
      </c>
      <c r="G117" s="14"/>
      <c r="H117" s="14">
        <v>30000</v>
      </c>
      <c r="I117" s="14"/>
      <c r="J117" s="14">
        <v>40000</v>
      </c>
      <c r="K117" s="14"/>
      <c r="L117" s="92"/>
      <c r="M117" s="6"/>
      <c r="N117" s="14"/>
      <c r="O117" s="82"/>
      <c r="P117" s="14"/>
      <c r="Q117" s="15"/>
      <c r="R117" s="5"/>
    </row>
    <row r="118" spans="1:19" ht="28.5" x14ac:dyDescent="0.25">
      <c r="A118" s="30" t="s">
        <v>109</v>
      </c>
      <c r="B118" s="42" t="s">
        <v>227</v>
      </c>
      <c r="C118" s="37">
        <f t="shared" si="11"/>
        <v>0</v>
      </c>
      <c r="D118" s="92">
        <v>0</v>
      </c>
      <c r="E118" s="92"/>
      <c r="F118" s="92"/>
      <c r="G118" s="16"/>
      <c r="H118" s="16"/>
      <c r="I118" s="16"/>
      <c r="J118" s="16"/>
      <c r="K118" s="16"/>
      <c r="L118" s="92"/>
      <c r="M118" s="6"/>
      <c r="N118" s="16"/>
      <c r="O118" s="83"/>
      <c r="P118" s="16"/>
      <c r="R118" s="5"/>
    </row>
    <row r="119" spans="1:19" s="1" customFormat="1" x14ac:dyDescent="0.25">
      <c r="A119" s="30"/>
      <c r="B119" s="42" t="s">
        <v>123</v>
      </c>
      <c r="C119" s="37">
        <f t="shared" si="11"/>
        <v>0</v>
      </c>
      <c r="D119" s="92"/>
      <c r="E119" s="92"/>
      <c r="F119" s="92"/>
      <c r="G119" s="16"/>
      <c r="H119" s="16"/>
      <c r="I119" s="16"/>
      <c r="J119" s="16"/>
      <c r="K119" s="16"/>
      <c r="L119" s="92"/>
      <c r="M119" s="6"/>
      <c r="N119" s="16"/>
      <c r="O119" s="83"/>
      <c r="P119" s="16"/>
      <c r="R119" s="5"/>
    </row>
    <row r="120" spans="1:19" ht="15.75" thickBot="1" x14ac:dyDescent="0.3">
      <c r="A120" s="19" t="s">
        <v>111</v>
      </c>
      <c r="B120" s="64" t="s">
        <v>228</v>
      </c>
      <c r="C120" s="37">
        <f t="shared" si="11"/>
        <v>171452367</v>
      </c>
      <c r="D120" s="178">
        <v>22159824</v>
      </c>
      <c r="E120" s="92">
        <v>10660179</v>
      </c>
      <c r="F120" s="37">
        <v>50000</v>
      </c>
      <c r="G120" s="37">
        <v>41200</v>
      </c>
      <c r="H120" s="37"/>
      <c r="I120" s="37">
        <v>5000000</v>
      </c>
      <c r="J120" s="37">
        <v>2268000</v>
      </c>
      <c r="K120" s="37">
        <v>2001324</v>
      </c>
      <c r="L120" s="37">
        <v>15000000</v>
      </c>
      <c r="M120" s="37">
        <v>57053446</v>
      </c>
      <c r="N120" s="37">
        <v>1116000</v>
      </c>
      <c r="O120" s="84">
        <v>4486110</v>
      </c>
      <c r="P120" s="180">
        <v>37616284</v>
      </c>
      <c r="R120" s="37">
        <v>14000000</v>
      </c>
    </row>
    <row r="121" spans="1:19" x14ac:dyDescent="0.25">
      <c r="A121" s="19" t="s">
        <v>112</v>
      </c>
      <c r="B121" s="64" t="s">
        <v>229</v>
      </c>
      <c r="C121" s="37">
        <f t="shared" si="11"/>
        <v>3231000</v>
      </c>
      <c r="D121" s="37"/>
      <c r="E121" s="92"/>
      <c r="F121" s="37"/>
      <c r="G121" s="37"/>
      <c r="H121" s="37">
        <v>120000</v>
      </c>
      <c r="I121" s="37"/>
      <c r="J121" s="37">
        <v>15000</v>
      </c>
      <c r="K121" s="37"/>
      <c r="L121" s="37">
        <v>60000</v>
      </c>
      <c r="M121" s="37"/>
      <c r="N121" s="37">
        <v>0</v>
      </c>
      <c r="O121" s="84"/>
      <c r="P121" s="37"/>
      <c r="Q121" s="37">
        <v>36000</v>
      </c>
      <c r="R121" s="37">
        <v>3000000</v>
      </c>
    </row>
    <row r="122" spans="1:19" ht="30" x14ac:dyDescent="0.25">
      <c r="A122" s="20" t="s">
        <v>113</v>
      </c>
      <c r="B122" s="65" t="s">
        <v>230</v>
      </c>
      <c r="C122" s="37">
        <f t="shared" si="11"/>
        <v>98728814</v>
      </c>
      <c r="D122" s="37"/>
      <c r="E122" s="37">
        <v>0</v>
      </c>
      <c r="F122" s="37">
        <v>0</v>
      </c>
      <c r="G122" s="37">
        <v>0</v>
      </c>
      <c r="H122" s="37">
        <v>0</v>
      </c>
      <c r="I122" s="37"/>
      <c r="J122" s="37"/>
      <c r="K122" s="37">
        <v>0</v>
      </c>
      <c r="L122" s="37">
        <v>0</v>
      </c>
      <c r="M122" s="37"/>
      <c r="N122" s="37">
        <v>0</v>
      </c>
      <c r="O122" s="77">
        <v>0</v>
      </c>
      <c r="P122" s="37">
        <v>0</v>
      </c>
      <c r="Q122" s="37">
        <v>0</v>
      </c>
      <c r="R122" s="37">
        <v>98728814</v>
      </c>
    </row>
    <row r="123" spans="1:19" x14ac:dyDescent="0.25">
      <c r="A123" s="29"/>
      <c r="B123" s="38"/>
      <c r="C123" s="37">
        <f t="shared" si="11"/>
        <v>0</v>
      </c>
      <c r="D123" s="17"/>
      <c r="E123" s="37">
        <v>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85"/>
      <c r="P123" s="17"/>
      <c r="R123" s="17">
        <v>0</v>
      </c>
    </row>
    <row r="124" spans="1:19" x14ac:dyDescent="0.25">
      <c r="A124" s="21" t="s">
        <v>114</v>
      </c>
      <c r="B124" s="39" t="s">
        <v>231</v>
      </c>
      <c r="C124" s="37">
        <f>C4-C27</f>
        <v>1519362</v>
      </c>
      <c r="D124" s="37">
        <f>D4-D27</f>
        <v>18260653</v>
      </c>
      <c r="E124" s="37">
        <f t="shared" ref="E124:R124" si="16">E4-E27</f>
        <v>558800</v>
      </c>
      <c r="F124" s="37">
        <f t="shared" si="16"/>
        <v>1560000</v>
      </c>
      <c r="G124" s="37">
        <f t="shared" si="16"/>
        <v>1928199</v>
      </c>
      <c r="H124" s="37">
        <f t="shared" si="16"/>
        <v>792000</v>
      </c>
      <c r="I124" s="37">
        <f t="shared" si="16"/>
        <v>1208000</v>
      </c>
      <c r="J124" s="37">
        <f t="shared" si="16"/>
        <v>189000</v>
      </c>
      <c r="K124" s="37">
        <f t="shared" si="16"/>
        <v>6703834</v>
      </c>
      <c r="L124" s="37">
        <f t="shared" si="16"/>
        <v>1723912</v>
      </c>
      <c r="M124" s="37">
        <f t="shared" si="16"/>
        <v>11201594</v>
      </c>
      <c r="N124" s="37">
        <f t="shared" si="16"/>
        <v>5248563</v>
      </c>
      <c r="O124" s="37">
        <f t="shared" si="16"/>
        <v>1343823</v>
      </c>
      <c r="P124" s="37">
        <f t="shared" si="16"/>
        <v>8190800</v>
      </c>
      <c r="Q124" s="37">
        <f t="shared" si="16"/>
        <v>-870000</v>
      </c>
      <c r="R124" s="37">
        <f t="shared" si="16"/>
        <v>-56288816</v>
      </c>
      <c r="S124" s="86"/>
    </row>
    <row r="125" spans="1:19" x14ac:dyDescent="0.25">
      <c r="E125" s="132"/>
    </row>
    <row r="126" spans="1:19" x14ac:dyDescent="0.25">
      <c r="C126" s="86"/>
    </row>
    <row r="128" spans="1:19" x14ac:dyDescent="0.25">
      <c r="C128" s="8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opLeftCell="A102" workbookViewId="0">
      <selection activeCell="B121" sqref="B121"/>
    </sheetView>
  </sheetViews>
  <sheetFormatPr defaultRowHeight="15" x14ac:dyDescent="0.25"/>
  <cols>
    <col min="2" max="2" width="66" customWidth="1"/>
    <col min="3" max="3" width="14.5703125" customWidth="1"/>
    <col min="4" max="4" width="11.140625" bestFit="1" customWidth="1"/>
    <col min="5" max="5" width="19.5703125" customWidth="1"/>
    <col min="7" max="7" width="48.85546875" customWidth="1"/>
    <col min="8" max="8" width="16.140625" customWidth="1"/>
    <col min="10" max="10" width="10.140625" bestFit="1" customWidth="1"/>
  </cols>
  <sheetData>
    <row r="1" spans="1:10" x14ac:dyDescent="0.25">
      <c r="A1" s="1"/>
      <c r="B1" s="32" t="s">
        <v>265</v>
      </c>
    </row>
    <row r="2" spans="1:10" ht="42" customHeight="1" x14ac:dyDescent="0.25">
      <c r="A2" s="1"/>
      <c r="B2" s="103"/>
      <c r="C2" s="129"/>
      <c r="H2" s="152" t="s">
        <v>243</v>
      </c>
    </row>
    <row r="3" spans="1:10" x14ac:dyDescent="0.25">
      <c r="A3" s="18">
        <v>1</v>
      </c>
      <c r="B3" s="104" t="s">
        <v>125</v>
      </c>
      <c r="C3" s="130">
        <f>'предлог план со подружници'!C4</f>
        <v>696038178</v>
      </c>
      <c r="D3" s="86">
        <f>C3-D24</f>
        <v>564532550</v>
      </c>
      <c r="E3" s="86">
        <v>571330466.3669467</v>
      </c>
      <c r="F3" s="18">
        <v>1</v>
      </c>
      <c r="G3" s="135" t="s">
        <v>125</v>
      </c>
      <c r="H3" s="175">
        <f>E3/C3*100</f>
        <v>82.083208137894232</v>
      </c>
    </row>
    <row r="4" spans="1:10" x14ac:dyDescent="0.25">
      <c r="A4" s="18" t="s">
        <v>0</v>
      </c>
      <c r="B4" s="105" t="s">
        <v>126</v>
      </c>
      <c r="C4" s="130">
        <f>'предлог план со подружници'!C5</f>
        <v>233541389</v>
      </c>
      <c r="D4" s="86">
        <f>D5+C6</f>
        <v>262827597.34999999</v>
      </c>
      <c r="E4" s="86">
        <v>228734966.36694676</v>
      </c>
      <c r="F4" s="18" t="s">
        <v>0</v>
      </c>
      <c r="G4" s="136" t="s">
        <v>126</v>
      </c>
      <c r="H4" s="175">
        <f t="shared" ref="H4:H67" si="0">E4/C4*100</f>
        <v>97.941939690590246</v>
      </c>
      <c r="J4" s="86">
        <f>E5-C5</f>
        <v>-4631422.6330532432</v>
      </c>
    </row>
    <row r="5" spans="1:10" x14ac:dyDescent="0.25">
      <c r="A5" s="18" t="s">
        <v>1</v>
      </c>
      <c r="B5" s="106" t="s">
        <v>132</v>
      </c>
      <c r="C5" s="177">
        <f>'предлог план со подружници'!C6</f>
        <v>195241389</v>
      </c>
      <c r="D5">
        <f>C5*115/100</f>
        <v>224527597.34999999</v>
      </c>
      <c r="E5" s="86">
        <v>190609966.36694676</v>
      </c>
      <c r="F5" s="18" t="s">
        <v>1</v>
      </c>
      <c r="G5" s="137" t="s">
        <v>132</v>
      </c>
      <c r="H5" s="175">
        <f t="shared" si="0"/>
        <v>97.627847939018082</v>
      </c>
      <c r="J5" s="86">
        <f>D5-C5</f>
        <v>29286208.349999994</v>
      </c>
    </row>
    <row r="6" spans="1:10" x14ac:dyDescent="0.25">
      <c r="A6" s="18" t="s">
        <v>2</v>
      </c>
      <c r="B6" s="106" t="s">
        <v>133</v>
      </c>
      <c r="C6" s="130">
        <f>'предлог план со подружници'!C7</f>
        <v>38300000</v>
      </c>
      <c r="E6" s="86">
        <v>38125000</v>
      </c>
      <c r="F6" s="18" t="s">
        <v>2</v>
      </c>
      <c r="G6" s="137" t="s">
        <v>133</v>
      </c>
      <c r="H6" s="175">
        <f t="shared" si="0"/>
        <v>99.543080939947785</v>
      </c>
    </row>
    <row r="7" spans="1:10" ht="22.5" x14ac:dyDescent="0.25">
      <c r="A7" s="18" t="s">
        <v>3</v>
      </c>
      <c r="B7" s="105" t="s">
        <v>127</v>
      </c>
      <c r="C7" s="130">
        <f>'предлог план со подружници'!C8</f>
        <v>74567352</v>
      </c>
      <c r="E7" s="86">
        <v>84190885</v>
      </c>
      <c r="F7" s="18" t="s">
        <v>3</v>
      </c>
      <c r="G7" s="136" t="s">
        <v>127</v>
      </c>
      <c r="H7" s="175">
        <f t="shared" si="0"/>
        <v>112.9058263997359</v>
      </c>
    </row>
    <row r="8" spans="1:10" x14ac:dyDescent="0.25">
      <c r="A8" s="18" t="s">
        <v>4</v>
      </c>
      <c r="B8" s="106" t="s">
        <v>131</v>
      </c>
      <c r="C8" s="130">
        <f>'предлог план со подружници'!C9</f>
        <v>50223000</v>
      </c>
      <c r="E8" s="86">
        <v>62884131</v>
      </c>
      <c r="F8" s="18" t="s">
        <v>4</v>
      </c>
      <c r="G8" s="137" t="s">
        <v>242</v>
      </c>
      <c r="H8" s="175">
        <f t="shared" si="0"/>
        <v>125.20982617525836</v>
      </c>
    </row>
    <row r="9" spans="1:10" x14ac:dyDescent="0.25">
      <c r="A9" s="18" t="s">
        <v>5</v>
      </c>
      <c r="B9" s="106" t="s">
        <v>128</v>
      </c>
      <c r="C9" s="130">
        <f>'предлог план со подружници'!C10</f>
        <v>14110300</v>
      </c>
      <c r="E9" s="86">
        <v>12829025</v>
      </c>
      <c r="F9" s="18" t="s">
        <v>5</v>
      </c>
      <c r="G9" s="137" t="s">
        <v>128</v>
      </c>
      <c r="H9" s="175">
        <f t="shared" si="0"/>
        <v>90.919576479592919</v>
      </c>
    </row>
    <row r="10" spans="1:10" x14ac:dyDescent="0.25">
      <c r="A10" s="18" t="s">
        <v>6</v>
      </c>
      <c r="B10" s="106" t="s">
        <v>129</v>
      </c>
      <c r="C10" s="130">
        <f>'предлог план со подружници'!C11</f>
        <v>10234052</v>
      </c>
      <c r="E10" s="86">
        <v>8477729</v>
      </c>
      <c r="F10" s="18" t="s">
        <v>6</v>
      </c>
      <c r="G10" s="137" t="s">
        <v>129</v>
      </c>
      <c r="H10" s="175">
        <f t="shared" si="0"/>
        <v>82.838439749964138</v>
      </c>
    </row>
    <row r="11" spans="1:10" x14ac:dyDescent="0.25">
      <c r="A11" s="18" t="s">
        <v>7</v>
      </c>
      <c r="B11" s="105" t="s">
        <v>130</v>
      </c>
      <c r="C11" s="130">
        <f>'предлог план со подружници'!C12</f>
        <v>63341640</v>
      </c>
      <c r="D11">
        <v>62770000</v>
      </c>
      <c r="E11" s="86">
        <v>62770000</v>
      </c>
      <c r="F11" s="18" t="s">
        <v>7</v>
      </c>
      <c r="G11" s="136" t="s">
        <v>130</v>
      </c>
      <c r="H11" s="175">
        <f t="shared" si="0"/>
        <v>99.097528892526313</v>
      </c>
    </row>
    <row r="12" spans="1:10" x14ac:dyDescent="0.25">
      <c r="A12" s="18" t="s">
        <v>8</v>
      </c>
      <c r="B12" s="106" t="s">
        <v>134</v>
      </c>
      <c r="C12" s="130">
        <f>'предлог план со подружници'!C13</f>
        <v>31958000</v>
      </c>
      <c r="E12" s="86">
        <v>31550000</v>
      </c>
      <c r="F12" s="18" t="s">
        <v>8</v>
      </c>
      <c r="G12" s="137" t="s">
        <v>134</v>
      </c>
      <c r="H12" s="175">
        <f t="shared" si="0"/>
        <v>98.723324363226737</v>
      </c>
    </row>
    <row r="13" spans="1:10" x14ac:dyDescent="0.25">
      <c r="A13" s="18" t="s">
        <v>9</v>
      </c>
      <c r="B13" s="106" t="s">
        <v>135</v>
      </c>
      <c r="C13" s="130">
        <f>'предлог план со подружници'!C14</f>
        <v>31383640</v>
      </c>
      <c r="E13" s="86">
        <v>31220000</v>
      </c>
      <c r="F13" s="18" t="s">
        <v>9</v>
      </c>
      <c r="G13" s="137" t="s">
        <v>135</v>
      </c>
      <c r="H13" s="175">
        <f t="shared" si="0"/>
        <v>99.478581834357001</v>
      </c>
    </row>
    <row r="14" spans="1:10" x14ac:dyDescent="0.25">
      <c r="A14" s="18" t="s">
        <v>10</v>
      </c>
      <c r="B14" s="105" t="s">
        <v>136</v>
      </c>
      <c r="C14" s="130">
        <f>'предлог план со подружници'!C15</f>
        <v>5310000</v>
      </c>
      <c r="D14">
        <v>4760000</v>
      </c>
      <c r="E14" s="86">
        <v>4760000</v>
      </c>
      <c r="F14" s="18" t="s">
        <v>10</v>
      </c>
      <c r="G14" s="136" t="s">
        <v>136</v>
      </c>
      <c r="H14" s="175">
        <f t="shared" si="0"/>
        <v>89.642184557438796</v>
      </c>
    </row>
    <row r="15" spans="1:10" x14ac:dyDescent="0.25">
      <c r="A15" s="18" t="s">
        <v>11</v>
      </c>
      <c r="B15" s="106" t="s">
        <v>137</v>
      </c>
      <c r="C15" s="130">
        <f>'предлог план со подружници'!C16</f>
        <v>5310000</v>
      </c>
      <c r="E15" s="86">
        <v>4760000</v>
      </c>
      <c r="F15" s="18" t="s">
        <v>11</v>
      </c>
      <c r="G15" s="137" t="s">
        <v>137</v>
      </c>
      <c r="H15" s="175">
        <f t="shared" si="0"/>
        <v>89.642184557438796</v>
      </c>
    </row>
    <row r="16" spans="1:10" x14ac:dyDescent="0.25">
      <c r="A16" s="18" t="s">
        <v>12</v>
      </c>
      <c r="B16" s="105" t="s">
        <v>138</v>
      </c>
      <c r="C16" s="130">
        <f>'предлог план со подружници'!C17</f>
        <v>156912578</v>
      </c>
      <c r="D16">
        <v>49668987</v>
      </c>
      <c r="E16" s="86">
        <v>59368987</v>
      </c>
      <c r="F16" s="18" t="s">
        <v>12</v>
      </c>
      <c r="G16" s="136" t="s">
        <v>138</v>
      </c>
      <c r="H16" s="175">
        <f t="shared" si="0"/>
        <v>37.835709384623073</v>
      </c>
    </row>
    <row r="17" spans="1:10" x14ac:dyDescent="0.25">
      <c r="A17" s="18" t="s">
        <v>13</v>
      </c>
      <c r="B17" s="106" t="s">
        <v>139</v>
      </c>
      <c r="C17" s="130">
        <f>'предлог план со подружници'!C18</f>
        <v>720000</v>
      </c>
      <c r="E17" s="86">
        <v>1257247</v>
      </c>
      <c r="F17" s="18" t="s">
        <v>13</v>
      </c>
      <c r="G17" s="137" t="s">
        <v>139</v>
      </c>
      <c r="H17" s="175">
        <f t="shared" si="0"/>
        <v>174.61763888888888</v>
      </c>
    </row>
    <row r="18" spans="1:10" x14ac:dyDescent="0.25">
      <c r="A18" s="18" t="s">
        <v>14</v>
      </c>
      <c r="B18" s="106" t="s">
        <v>140</v>
      </c>
      <c r="C18" s="130">
        <f>'предлог план со подружници'!C19</f>
        <v>6963764</v>
      </c>
      <c r="E18" s="86">
        <v>8211740</v>
      </c>
      <c r="F18" s="18" t="s">
        <v>14</v>
      </c>
      <c r="G18" s="137" t="s">
        <v>140</v>
      </c>
      <c r="H18" s="175">
        <f t="shared" si="0"/>
        <v>117.92099789711426</v>
      </c>
    </row>
    <row r="19" spans="1:10" x14ac:dyDescent="0.25">
      <c r="A19" s="18" t="s">
        <v>15</v>
      </c>
      <c r="B19" s="106" t="s">
        <v>141</v>
      </c>
      <c r="C19" s="130">
        <f>'предлог план со подружници'!C20</f>
        <v>40000000</v>
      </c>
      <c r="E19" s="86">
        <v>34000000</v>
      </c>
      <c r="F19" s="18" t="s">
        <v>15</v>
      </c>
      <c r="G19" s="137" t="s">
        <v>141</v>
      </c>
      <c r="H19" s="175">
        <f t="shared" si="0"/>
        <v>85</v>
      </c>
    </row>
    <row r="20" spans="1:10" x14ac:dyDescent="0.25">
      <c r="A20" s="18" t="s">
        <v>16</v>
      </c>
      <c r="B20" s="106" t="s">
        <v>142</v>
      </c>
      <c r="C20" s="130">
        <f>'предлог план со подружници'!C21</f>
        <v>0</v>
      </c>
      <c r="E20" s="86">
        <v>0</v>
      </c>
      <c r="F20" s="18" t="s">
        <v>16</v>
      </c>
      <c r="G20" s="137" t="s">
        <v>142</v>
      </c>
      <c r="H20" s="175"/>
    </row>
    <row r="21" spans="1:10" ht="22.5" x14ac:dyDescent="0.25">
      <c r="A21" s="18" t="s">
        <v>18</v>
      </c>
      <c r="B21" s="107" t="s">
        <v>143</v>
      </c>
      <c r="C21" s="130">
        <f>'предлог план со подружници'!C22</f>
        <v>4800000</v>
      </c>
      <c r="E21" s="86">
        <v>6500000</v>
      </c>
      <c r="F21" s="18" t="s">
        <v>18</v>
      </c>
      <c r="G21" s="137" t="s">
        <v>143</v>
      </c>
      <c r="H21" s="175"/>
    </row>
    <row r="22" spans="1:10" x14ac:dyDescent="0.25">
      <c r="A22" s="18" t="s">
        <v>19</v>
      </c>
      <c r="B22" s="42" t="s">
        <v>144</v>
      </c>
      <c r="C22" s="130">
        <f>'предлог план со подружници'!C23</f>
        <v>5700000</v>
      </c>
      <c r="E22" s="86">
        <v>9400000</v>
      </c>
      <c r="F22" s="18" t="s">
        <v>19</v>
      </c>
      <c r="G22" s="137" t="s">
        <v>241</v>
      </c>
      <c r="H22" s="175">
        <f t="shared" si="0"/>
        <v>164.91228070175438</v>
      </c>
    </row>
    <row r="23" spans="1:10" ht="22.5" x14ac:dyDescent="0.25">
      <c r="A23" s="22" t="s">
        <v>20</v>
      </c>
      <c r="B23" s="97" t="s">
        <v>145</v>
      </c>
      <c r="C23" s="130">
        <f>'предлог план со подружници'!C24</f>
        <v>98728814</v>
      </c>
      <c r="E23" s="86">
        <v>0</v>
      </c>
      <c r="F23" s="22" t="s">
        <v>20</v>
      </c>
      <c r="G23" s="138" t="s">
        <v>145</v>
      </c>
      <c r="H23" s="175"/>
    </row>
    <row r="24" spans="1:10" x14ac:dyDescent="0.25">
      <c r="A24" s="40" t="s">
        <v>115</v>
      </c>
      <c r="B24" s="97" t="s">
        <v>146</v>
      </c>
      <c r="C24" s="130">
        <f>'предлог план со подружници'!C25</f>
        <v>162365219</v>
      </c>
      <c r="D24">
        <v>131505628</v>
      </c>
      <c r="E24">
        <v>131505628</v>
      </c>
      <c r="F24" s="40" t="s">
        <v>115</v>
      </c>
      <c r="G24" s="97" t="s">
        <v>146</v>
      </c>
      <c r="H24" s="175">
        <f t="shared" si="0"/>
        <v>80.99371824208238</v>
      </c>
    </row>
    <row r="25" spans="1:10" ht="15.75" thickBot="1" x14ac:dyDescent="0.3">
      <c r="A25" s="2"/>
      <c r="B25" s="75"/>
      <c r="C25" s="130">
        <f>'предлог план со подружници'!C26</f>
        <v>0</v>
      </c>
      <c r="E25" s="86">
        <v>0</v>
      </c>
      <c r="F25" s="2"/>
      <c r="G25" s="2"/>
      <c r="H25" s="175"/>
    </row>
    <row r="26" spans="1:10" x14ac:dyDescent="0.25">
      <c r="A26" s="23" t="s">
        <v>21</v>
      </c>
      <c r="B26" s="108" t="s">
        <v>147</v>
      </c>
      <c r="C26" s="130">
        <f>'предлог план со подружници'!C27</f>
        <v>694518816</v>
      </c>
      <c r="D26" s="86">
        <f>C26-D117+D118</f>
        <v>563013188</v>
      </c>
      <c r="E26" s="86">
        <v>570771790</v>
      </c>
      <c r="F26" s="23" t="s">
        <v>21</v>
      </c>
      <c r="G26" s="139" t="s">
        <v>147</v>
      </c>
      <c r="H26" s="175">
        <f t="shared" si="0"/>
        <v>82.182336439391733</v>
      </c>
    </row>
    <row r="27" spans="1:10" x14ac:dyDescent="0.25">
      <c r="A27" s="24" t="s">
        <v>22</v>
      </c>
      <c r="B27" s="109" t="s">
        <v>148</v>
      </c>
      <c r="C27" s="130">
        <f>'предлог план со подружници'!C28</f>
        <v>258583034</v>
      </c>
      <c r="E27" s="86">
        <v>251493058</v>
      </c>
      <c r="F27" s="24" t="s">
        <v>22</v>
      </c>
      <c r="G27" s="140" t="s">
        <v>148</v>
      </c>
      <c r="H27" s="175">
        <f t="shared" si="0"/>
        <v>97.258143393893349</v>
      </c>
      <c r="J27">
        <f>C26/C27*100</f>
        <v>268.58638219860939</v>
      </c>
    </row>
    <row r="28" spans="1:10" x14ac:dyDescent="0.25">
      <c r="A28" s="19" t="s">
        <v>23</v>
      </c>
      <c r="B28" s="98" t="s">
        <v>149</v>
      </c>
      <c r="C28" s="130">
        <f>'предлог план со подружници'!C29</f>
        <v>250301724</v>
      </c>
      <c r="E28" s="86">
        <v>221622120</v>
      </c>
      <c r="F28" s="19" t="s">
        <v>23</v>
      </c>
      <c r="G28" s="141" t="s">
        <v>149</v>
      </c>
      <c r="H28" s="175">
        <f t="shared" si="0"/>
        <v>88.541987030021417</v>
      </c>
      <c r="J28">
        <f>C27/C26*100</f>
        <v>37.231969536733182</v>
      </c>
    </row>
    <row r="29" spans="1:10" x14ac:dyDescent="0.25">
      <c r="A29" s="19" t="s">
        <v>24</v>
      </c>
      <c r="B29" s="98" t="s">
        <v>150</v>
      </c>
      <c r="C29" s="130">
        <f>'предлог план со подружници'!C30</f>
        <v>0</v>
      </c>
      <c r="E29" s="86">
        <v>28679612</v>
      </c>
      <c r="F29" s="19" t="s">
        <v>24</v>
      </c>
      <c r="G29" s="142" t="s">
        <v>150</v>
      </c>
      <c r="H29" s="175" t="e">
        <f t="shared" si="0"/>
        <v>#DIV/0!</v>
      </c>
      <c r="J29">
        <f>C27/C3*100</f>
        <v>37.150696926282684</v>
      </c>
    </row>
    <row r="30" spans="1:10" x14ac:dyDescent="0.25">
      <c r="A30" s="19" t="s">
        <v>25</v>
      </c>
      <c r="B30" s="50" t="s">
        <v>151</v>
      </c>
      <c r="C30" s="177">
        <f>'предлог план со подружници'!C31</f>
        <v>8281310</v>
      </c>
      <c r="E30" s="86">
        <v>1191326</v>
      </c>
      <c r="F30" s="19" t="s">
        <v>25</v>
      </c>
      <c r="G30" s="143" t="s">
        <v>151</v>
      </c>
      <c r="H30" s="175">
        <f t="shared" si="0"/>
        <v>14.385719167619616</v>
      </c>
    </row>
    <row r="31" spans="1:10" x14ac:dyDescent="0.25">
      <c r="A31" s="24" t="s">
        <v>26</v>
      </c>
      <c r="B31" s="109" t="s">
        <v>240</v>
      </c>
      <c r="C31" s="130">
        <f>'предлог план со подружници'!C32</f>
        <v>91490622</v>
      </c>
      <c r="E31" s="86">
        <v>89458644</v>
      </c>
      <c r="F31" s="24" t="s">
        <v>26</v>
      </c>
      <c r="G31" s="140" t="s">
        <v>240</v>
      </c>
      <c r="H31" s="175">
        <f t="shared" si="0"/>
        <v>97.779031385315093</v>
      </c>
    </row>
    <row r="32" spans="1:10" x14ac:dyDescent="0.25">
      <c r="A32" s="24" t="s">
        <v>27</v>
      </c>
      <c r="B32" s="110" t="s">
        <v>152</v>
      </c>
      <c r="C32" s="130">
        <f>'предлог план со подружници'!C33</f>
        <v>1241000</v>
      </c>
      <c r="E32" s="86">
        <v>2577000</v>
      </c>
      <c r="F32" s="24" t="s">
        <v>27</v>
      </c>
      <c r="G32" s="144" t="s">
        <v>152</v>
      </c>
      <c r="H32" s="175">
        <f t="shared" si="0"/>
        <v>207.65511684125704</v>
      </c>
    </row>
    <row r="33" spans="1:8" x14ac:dyDescent="0.25">
      <c r="A33" s="24" t="s">
        <v>28</v>
      </c>
      <c r="B33" s="110" t="s">
        <v>153</v>
      </c>
      <c r="C33" s="130">
        <f>'предлог план со подружници'!C34</f>
        <v>546000</v>
      </c>
      <c r="E33" s="86">
        <v>559000</v>
      </c>
      <c r="F33" s="24" t="s">
        <v>28</v>
      </c>
      <c r="G33" s="144" t="s">
        <v>153</v>
      </c>
      <c r="H33" s="175">
        <f t="shared" si="0"/>
        <v>102.38095238095238</v>
      </c>
    </row>
    <row r="34" spans="1:8" x14ac:dyDescent="0.25">
      <c r="A34" s="24" t="s">
        <v>29</v>
      </c>
      <c r="B34" s="110" t="s">
        <v>154</v>
      </c>
      <c r="C34" s="130">
        <f>'предлог план со подружници'!C35</f>
        <v>1536996</v>
      </c>
      <c r="E34" s="86">
        <v>1607996</v>
      </c>
      <c r="F34" s="24" t="s">
        <v>29</v>
      </c>
      <c r="G34" s="144" t="s">
        <v>154</v>
      </c>
      <c r="H34" s="175">
        <f t="shared" si="0"/>
        <v>104.61940044085995</v>
      </c>
    </row>
    <row r="35" spans="1:8" x14ac:dyDescent="0.25">
      <c r="A35" s="24" t="s">
        <v>30</v>
      </c>
      <c r="B35" s="110" t="s">
        <v>155</v>
      </c>
      <c r="C35" s="130">
        <f>'предлог план со подружници'!C36</f>
        <v>718744</v>
      </c>
      <c r="E35" s="86">
        <v>765344</v>
      </c>
      <c r="F35" s="24" t="s">
        <v>30</v>
      </c>
      <c r="G35" s="144" t="s">
        <v>155</v>
      </c>
      <c r="H35" s="175">
        <f t="shared" si="0"/>
        <v>106.48353238427033</v>
      </c>
    </row>
    <row r="36" spans="1:8" x14ac:dyDescent="0.25">
      <c r="A36" s="24" t="s">
        <v>31</v>
      </c>
      <c r="B36" s="110" t="s">
        <v>239</v>
      </c>
      <c r="C36" s="130">
        <f>'предлог план со подружници'!C37</f>
        <v>102956</v>
      </c>
      <c r="E36" s="86">
        <v>117956</v>
      </c>
      <c r="F36" s="24" t="s">
        <v>31</v>
      </c>
      <c r="G36" s="144" t="s">
        <v>239</v>
      </c>
      <c r="H36" s="175">
        <f t="shared" si="0"/>
        <v>114.56933058782393</v>
      </c>
    </row>
    <row r="37" spans="1:8" x14ac:dyDescent="0.25">
      <c r="A37" s="24" t="s">
        <v>32</v>
      </c>
      <c r="B37" s="110" t="s">
        <v>156</v>
      </c>
      <c r="C37" s="130">
        <f>'предлог план со подружници'!C38</f>
        <v>643388</v>
      </c>
      <c r="E37" s="86">
        <v>799108</v>
      </c>
      <c r="F37" s="24" t="s">
        <v>32</v>
      </c>
      <c r="G37" s="144" t="s">
        <v>156</v>
      </c>
      <c r="H37" s="175">
        <f t="shared" si="0"/>
        <v>124.20312470857398</v>
      </c>
    </row>
    <row r="38" spans="1:8" x14ac:dyDescent="0.25">
      <c r="A38" s="24" t="s">
        <v>33</v>
      </c>
      <c r="B38" s="110" t="s">
        <v>157</v>
      </c>
      <c r="C38" s="130">
        <f>'предлог план со подружници'!C39</f>
        <v>1296744</v>
      </c>
      <c r="E38" s="86">
        <v>1353744</v>
      </c>
      <c r="F38" s="24" t="s">
        <v>33</v>
      </c>
      <c r="G38" s="144" t="s">
        <v>157</v>
      </c>
      <c r="H38" s="175">
        <f t="shared" si="0"/>
        <v>104.39562473394903</v>
      </c>
    </row>
    <row r="39" spans="1:8" x14ac:dyDescent="0.25">
      <c r="A39" s="24" t="s">
        <v>34</v>
      </c>
      <c r="B39" s="110" t="s">
        <v>158</v>
      </c>
      <c r="C39" s="130">
        <f>'предлог план со подружници'!C40</f>
        <v>24168038</v>
      </c>
      <c r="E39" s="86">
        <v>26690038</v>
      </c>
      <c r="F39" s="24" t="s">
        <v>34</v>
      </c>
      <c r="G39" s="144" t="s">
        <v>158</v>
      </c>
      <c r="H39" s="175">
        <f t="shared" si="0"/>
        <v>110.43526992137301</v>
      </c>
    </row>
    <row r="40" spans="1:8" x14ac:dyDescent="0.25">
      <c r="A40" s="24" t="s">
        <v>35</v>
      </c>
      <c r="B40" s="110" t="s">
        <v>159</v>
      </c>
      <c r="C40" s="130">
        <f>'предлог план со подружници'!C41</f>
        <v>1845596</v>
      </c>
      <c r="E40" s="86">
        <v>2091796</v>
      </c>
      <c r="F40" s="24" t="s">
        <v>35</v>
      </c>
      <c r="G40" s="144" t="s">
        <v>159</v>
      </c>
      <c r="H40" s="175">
        <f t="shared" si="0"/>
        <v>113.33986419563111</v>
      </c>
    </row>
    <row r="41" spans="1:8" x14ac:dyDescent="0.25">
      <c r="A41" s="24" t="s">
        <v>36</v>
      </c>
      <c r="B41" s="110" t="s">
        <v>160</v>
      </c>
      <c r="C41" s="130">
        <f>'предлог план со подружници'!C42</f>
        <v>2007000</v>
      </c>
      <c r="E41" s="86">
        <v>2108850</v>
      </c>
      <c r="F41" s="24" t="s">
        <v>36</v>
      </c>
      <c r="G41" s="144" t="s">
        <v>160</v>
      </c>
      <c r="H41" s="175">
        <f t="shared" si="0"/>
        <v>105.0747384155456</v>
      </c>
    </row>
    <row r="42" spans="1:8" x14ac:dyDescent="0.25">
      <c r="A42" s="24" t="s">
        <v>37</v>
      </c>
      <c r="B42" s="110" t="s">
        <v>161</v>
      </c>
      <c r="C42" s="130">
        <f>'предлог план со подружници'!C43</f>
        <v>705000</v>
      </c>
      <c r="E42" s="86">
        <v>861000</v>
      </c>
      <c r="F42" s="24" t="s">
        <v>37</v>
      </c>
      <c r="G42" s="144" t="s">
        <v>161</v>
      </c>
      <c r="H42" s="175">
        <f t="shared" si="0"/>
        <v>122.1276595744681</v>
      </c>
    </row>
    <row r="43" spans="1:8" ht="24" x14ac:dyDescent="0.25">
      <c r="A43" s="24" t="s">
        <v>38</v>
      </c>
      <c r="B43" s="110" t="s">
        <v>162</v>
      </c>
      <c r="C43" s="130">
        <f>'предлог план со подружници'!C44</f>
        <v>21544044</v>
      </c>
      <c r="E43" s="86">
        <v>21414600</v>
      </c>
      <c r="F43" s="24" t="s">
        <v>38</v>
      </c>
      <c r="G43" s="144" t="s">
        <v>162</v>
      </c>
      <c r="H43" s="175">
        <f t="shared" si="0"/>
        <v>99.399165727660048</v>
      </c>
    </row>
    <row r="44" spans="1:8" x14ac:dyDescent="0.25">
      <c r="A44" s="24" t="s">
        <v>39</v>
      </c>
      <c r="B44" s="110" t="s">
        <v>163</v>
      </c>
      <c r="C44" s="130">
        <f>'предлог план со подружници'!C45</f>
        <v>850606</v>
      </c>
      <c r="E44" s="86">
        <v>850606</v>
      </c>
      <c r="F44" s="24" t="s">
        <v>39</v>
      </c>
      <c r="G44" s="144" t="s">
        <v>163</v>
      </c>
      <c r="H44" s="175">
        <f t="shared" si="0"/>
        <v>100</v>
      </c>
    </row>
    <row r="45" spans="1:8" x14ac:dyDescent="0.25">
      <c r="A45" s="24" t="s">
        <v>40</v>
      </c>
      <c r="B45" s="110" t="s">
        <v>164</v>
      </c>
      <c r="C45" s="130">
        <f>'предлог план со подружници'!C46</f>
        <v>1751000</v>
      </c>
      <c r="E45" s="86">
        <v>1800000</v>
      </c>
      <c r="F45" s="24" t="s">
        <v>40</v>
      </c>
      <c r="G45" s="144" t="s">
        <v>164</v>
      </c>
      <c r="H45" s="175">
        <f t="shared" si="0"/>
        <v>102.79840091376356</v>
      </c>
    </row>
    <row r="46" spans="1:8" x14ac:dyDescent="0.25">
      <c r="A46" s="24" t="s">
        <v>41</v>
      </c>
      <c r="B46" s="131" t="s">
        <v>165</v>
      </c>
      <c r="C46" s="130">
        <f>'предлог план со подружници'!C47</f>
        <v>2308000</v>
      </c>
      <c r="E46" s="86">
        <v>1442000</v>
      </c>
      <c r="F46" s="24" t="s">
        <v>41</v>
      </c>
      <c r="G46" s="144" t="s">
        <v>165</v>
      </c>
      <c r="H46" s="175">
        <f t="shared" si="0"/>
        <v>62.478336221837083</v>
      </c>
    </row>
    <row r="47" spans="1:8" ht="24" x14ac:dyDescent="0.25">
      <c r="A47" s="24" t="s">
        <v>42</v>
      </c>
      <c r="B47" s="110" t="s">
        <v>166</v>
      </c>
      <c r="C47" s="130">
        <f>'предлог план со подружници'!C48</f>
        <v>603000</v>
      </c>
      <c r="E47" s="86">
        <v>501000</v>
      </c>
      <c r="F47" s="24" t="s">
        <v>42</v>
      </c>
      <c r="G47" s="144" t="s">
        <v>166</v>
      </c>
      <c r="H47" s="175">
        <f t="shared" si="0"/>
        <v>83.084577114427859</v>
      </c>
    </row>
    <row r="48" spans="1:8" x14ac:dyDescent="0.25">
      <c r="A48" s="24" t="s">
        <v>43</v>
      </c>
      <c r="B48" s="100" t="s">
        <v>167</v>
      </c>
      <c r="C48" s="130">
        <f>'предлог план со подружници'!C49</f>
        <v>234000</v>
      </c>
      <c r="E48" s="86">
        <v>989140</v>
      </c>
      <c r="F48" s="24" t="s">
        <v>43</v>
      </c>
      <c r="G48" s="145" t="s">
        <v>167</v>
      </c>
      <c r="H48" s="175">
        <f t="shared" si="0"/>
        <v>422.70940170940167</v>
      </c>
    </row>
    <row r="49" spans="1:8" x14ac:dyDescent="0.25">
      <c r="A49" s="24" t="s">
        <v>44</v>
      </c>
      <c r="B49" s="110" t="s">
        <v>168</v>
      </c>
      <c r="C49" s="130">
        <f>'предлог план со подружници'!C50</f>
        <v>9504752</v>
      </c>
      <c r="E49" s="86">
        <v>8042752</v>
      </c>
      <c r="F49" s="24" t="s">
        <v>44</v>
      </c>
      <c r="G49" s="144" t="s">
        <v>168</v>
      </c>
      <c r="H49" s="175">
        <f t="shared" si="0"/>
        <v>84.618220443836933</v>
      </c>
    </row>
    <row r="50" spans="1:8" x14ac:dyDescent="0.25">
      <c r="A50" s="19" t="s">
        <v>45</v>
      </c>
      <c r="B50" s="100" t="s">
        <v>169</v>
      </c>
      <c r="C50" s="130">
        <f>'предлог план со подружници'!C51</f>
        <v>2460000</v>
      </c>
      <c r="E50" s="86">
        <v>2908000</v>
      </c>
      <c r="F50" s="19" t="s">
        <v>45</v>
      </c>
      <c r="G50" s="145" t="s">
        <v>169</v>
      </c>
      <c r="H50" s="175">
        <f t="shared" si="0"/>
        <v>118.21138211382114</v>
      </c>
    </row>
    <row r="51" spans="1:8" x14ac:dyDescent="0.25">
      <c r="A51" s="19" t="s">
        <v>46</v>
      </c>
      <c r="B51" s="110" t="s">
        <v>170</v>
      </c>
      <c r="C51" s="130">
        <f>'предлог план со подружници'!C52</f>
        <v>409000</v>
      </c>
      <c r="E51" s="86">
        <v>579000</v>
      </c>
      <c r="F51" s="19" t="s">
        <v>46</v>
      </c>
      <c r="G51" s="144" t="s">
        <v>170</v>
      </c>
      <c r="H51" s="175">
        <f t="shared" si="0"/>
        <v>141.56479217603913</v>
      </c>
    </row>
    <row r="52" spans="1:8" x14ac:dyDescent="0.25">
      <c r="A52" s="19" t="s">
        <v>47</v>
      </c>
      <c r="B52" s="144" t="s">
        <v>171</v>
      </c>
      <c r="C52" s="130">
        <f>'предлог план со подружници'!C53</f>
        <v>140000</v>
      </c>
      <c r="E52" s="86">
        <v>0</v>
      </c>
      <c r="F52" s="19" t="s">
        <v>47</v>
      </c>
      <c r="G52" s="144" t="s">
        <v>171</v>
      </c>
      <c r="H52" s="175"/>
    </row>
    <row r="53" spans="1:8" x14ac:dyDescent="0.25">
      <c r="A53" s="19" t="s">
        <v>48</v>
      </c>
      <c r="B53" s="110" t="s">
        <v>172</v>
      </c>
      <c r="C53" s="130">
        <f>'предлог план со подружници'!C54</f>
        <v>394538</v>
      </c>
      <c r="E53" s="86">
        <v>0</v>
      </c>
      <c r="F53" s="19" t="s">
        <v>48</v>
      </c>
      <c r="G53" s="144" t="s">
        <v>238</v>
      </c>
      <c r="H53" s="175"/>
    </row>
    <row r="54" spans="1:8" x14ac:dyDescent="0.25">
      <c r="A54" s="19" t="s">
        <v>49</v>
      </c>
      <c r="B54" s="110" t="s">
        <v>173</v>
      </c>
      <c r="C54" s="130">
        <f>'предлог план со подружници'!C55</f>
        <v>1076000</v>
      </c>
      <c r="E54" s="86">
        <v>1649538</v>
      </c>
      <c r="F54" s="19" t="s">
        <v>49</v>
      </c>
      <c r="G54" s="144" t="s">
        <v>173</v>
      </c>
      <c r="H54" s="175">
        <f t="shared" si="0"/>
        <v>153.30278810408922</v>
      </c>
    </row>
    <row r="55" spans="1:8" x14ac:dyDescent="0.25">
      <c r="A55" s="19" t="s">
        <v>50</v>
      </c>
      <c r="B55" s="110"/>
      <c r="C55" s="130">
        <f>'предлог план со подружници'!C56</f>
        <v>0</v>
      </c>
      <c r="E55" s="86">
        <v>0</v>
      </c>
      <c r="F55" s="19" t="s">
        <v>50</v>
      </c>
      <c r="G55" s="144"/>
      <c r="H55" s="175"/>
    </row>
    <row r="56" spans="1:8" x14ac:dyDescent="0.25">
      <c r="A56" s="25" t="s">
        <v>51</v>
      </c>
      <c r="B56" s="110" t="s">
        <v>174</v>
      </c>
      <c r="C56" s="130">
        <f>'предлог план со подружници'!C57</f>
        <v>1222500</v>
      </c>
      <c r="E56" s="86">
        <v>0</v>
      </c>
      <c r="F56" s="25" t="s">
        <v>51</v>
      </c>
      <c r="G56" s="146" t="s">
        <v>237</v>
      </c>
      <c r="H56" s="175">
        <f t="shared" si="0"/>
        <v>0</v>
      </c>
    </row>
    <row r="57" spans="1:8" x14ac:dyDescent="0.25">
      <c r="A57" s="25" t="s">
        <v>52</v>
      </c>
      <c r="B57" s="111" t="s">
        <v>175</v>
      </c>
      <c r="C57" s="177">
        <f>'предлог план со подружници'!C58</f>
        <v>5800000</v>
      </c>
      <c r="E57" s="86">
        <v>1090000</v>
      </c>
      <c r="F57" s="25" t="s">
        <v>52</v>
      </c>
      <c r="G57" s="147" t="s">
        <v>175</v>
      </c>
      <c r="H57" s="175">
        <f t="shared" si="0"/>
        <v>18.793103448275861</v>
      </c>
    </row>
    <row r="58" spans="1:8" x14ac:dyDescent="0.25">
      <c r="A58" s="25" t="s">
        <v>53</v>
      </c>
      <c r="B58" s="112"/>
      <c r="C58" s="130">
        <f>'предлог план со подружници'!C59</f>
        <v>0</v>
      </c>
      <c r="E58" s="86">
        <v>0</v>
      </c>
      <c r="F58" s="25" t="s">
        <v>53</v>
      </c>
      <c r="G58" s="146" t="s">
        <v>236</v>
      </c>
      <c r="H58" s="175"/>
    </row>
    <row r="59" spans="1:8" x14ac:dyDescent="0.25">
      <c r="A59" s="26" t="s">
        <v>54</v>
      </c>
      <c r="B59" s="110" t="s">
        <v>176</v>
      </c>
      <c r="C59" s="130">
        <f>'предлог план со подружници'!C60</f>
        <v>3771374</v>
      </c>
      <c r="E59" s="86">
        <v>4130680</v>
      </c>
      <c r="F59" s="26" t="s">
        <v>54</v>
      </c>
      <c r="G59" s="144" t="s">
        <v>176</v>
      </c>
      <c r="H59" s="175">
        <f t="shared" si="0"/>
        <v>109.52719088586814</v>
      </c>
    </row>
    <row r="60" spans="1:8" x14ac:dyDescent="0.25">
      <c r="A60" s="20" t="s">
        <v>55</v>
      </c>
      <c r="B60" s="113" t="s">
        <v>177</v>
      </c>
      <c r="C60" s="130">
        <f>'предлог план со подружници'!C61</f>
        <v>4610346</v>
      </c>
      <c r="E60" s="86">
        <v>4529496</v>
      </c>
      <c r="F60" s="20" t="s">
        <v>55</v>
      </c>
      <c r="G60" s="148" t="s">
        <v>177</v>
      </c>
      <c r="H60" s="175">
        <f t="shared" si="0"/>
        <v>98.246335524492096</v>
      </c>
    </row>
    <row r="61" spans="1:8" x14ac:dyDescent="0.25">
      <c r="A61" s="24" t="s">
        <v>56</v>
      </c>
      <c r="B61" s="114" t="s">
        <v>178</v>
      </c>
      <c r="C61" s="130">
        <f>'предлог план со подружници'!C62</f>
        <v>31760412</v>
      </c>
      <c r="E61" s="86">
        <v>41384520</v>
      </c>
      <c r="F61" s="24" t="s">
        <v>56</v>
      </c>
      <c r="G61" s="149" t="s">
        <v>178</v>
      </c>
      <c r="H61" s="175">
        <f t="shared" si="0"/>
        <v>130.30221396372315</v>
      </c>
    </row>
    <row r="62" spans="1:8" x14ac:dyDescent="0.25">
      <c r="A62" s="24" t="s">
        <v>57</v>
      </c>
      <c r="B62" s="115" t="s">
        <v>179</v>
      </c>
      <c r="C62" s="130">
        <f>'предлог план со подружници'!C63</f>
        <v>930000</v>
      </c>
      <c r="E62" s="86">
        <v>1073000</v>
      </c>
      <c r="F62" s="24" t="s">
        <v>57</v>
      </c>
      <c r="G62" s="150" t="s">
        <v>179</v>
      </c>
      <c r="H62" s="175">
        <f t="shared" si="0"/>
        <v>115.3763440860215</v>
      </c>
    </row>
    <row r="63" spans="1:8" x14ac:dyDescent="0.25">
      <c r="A63" s="24" t="s">
        <v>58</v>
      </c>
      <c r="B63" s="116" t="s">
        <v>180</v>
      </c>
      <c r="C63" s="130">
        <f>'предлог план со подружници'!C64</f>
        <v>1578000</v>
      </c>
      <c r="E63" s="86">
        <v>1690000</v>
      </c>
      <c r="F63" s="24" t="s">
        <v>58</v>
      </c>
      <c r="G63" s="151" t="s">
        <v>180</v>
      </c>
      <c r="H63" s="175">
        <f t="shared" si="0"/>
        <v>107.09759188846641</v>
      </c>
    </row>
    <row r="64" spans="1:8" ht="30" x14ac:dyDescent="0.25">
      <c r="A64" s="24" t="s">
        <v>59</v>
      </c>
      <c r="B64" s="99" t="s">
        <v>181</v>
      </c>
      <c r="C64" s="130">
        <f>'предлог план со подружници'!C65</f>
        <v>4852000</v>
      </c>
      <c r="E64" s="86">
        <v>5202000</v>
      </c>
      <c r="F64" s="24" t="s">
        <v>59</v>
      </c>
      <c r="G64" s="152" t="s">
        <v>181</v>
      </c>
      <c r="H64" s="175">
        <f t="shared" si="0"/>
        <v>107.21352019785655</v>
      </c>
    </row>
    <row r="65" spans="1:8" x14ac:dyDescent="0.25">
      <c r="A65" s="24" t="s">
        <v>60</v>
      </c>
      <c r="B65" s="117" t="s">
        <v>182</v>
      </c>
      <c r="C65" s="130">
        <f>'предлог план со подружници'!C66</f>
        <v>709192</v>
      </c>
      <c r="E65" s="86">
        <v>710368</v>
      </c>
      <c r="F65" s="153" t="s">
        <v>60</v>
      </c>
      <c r="G65" s="154" t="s">
        <v>182</v>
      </c>
      <c r="H65" s="175">
        <f t="shared" si="0"/>
        <v>100.16582251350835</v>
      </c>
    </row>
    <row r="66" spans="1:8" x14ac:dyDescent="0.25">
      <c r="A66" s="24" t="s">
        <v>61</v>
      </c>
      <c r="B66" s="117" t="s">
        <v>183</v>
      </c>
      <c r="C66" s="130">
        <f>'предлог план со подружници'!C67</f>
        <v>1320000</v>
      </c>
      <c r="E66" s="86">
        <v>2087144</v>
      </c>
      <c r="F66" s="24" t="s">
        <v>61</v>
      </c>
      <c r="G66" s="155" t="s">
        <v>183</v>
      </c>
      <c r="H66" s="175">
        <f t="shared" si="0"/>
        <v>158.11696969696968</v>
      </c>
    </row>
    <row r="67" spans="1:8" x14ac:dyDescent="0.25">
      <c r="A67" s="24" t="s">
        <v>62</v>
      </c>
      <c r="B67" s="115" t="s">
        <v>184</v>
      </c>
      <c r="C67" s="130">
        <f>'предлог план со подружници'!C68</f>
        <v>1642408</v>
      </c>
      <c r="E67" s="86">
        <v>1987608</v>
      </c>
      <c r="F67" s="24" t="s">
        <v>62</v>
      </c>
      <c r="G67" s="150" t="s">
        <v>184</v>
      </c>
      <c r="H67" s="175">
        <f t="shared" si="0"/>
        <v>121.01792002961504</v>
      </c>
    </row>
    <row r="68" spans="1:8" x14ac:dyDescent="0.25">
      <c r="A68" s="24" t="s">
        <v>63</v>
      </c>
      <c r="B68" s="115" t="s">
        <v>185</v>
      </c>
      <c r="C68" s="130">
        <f>'предлог план со подружници'!C69</f>
        <v>4166000</v>
      </c>
      <c r="E68" s="86">
        <v>4306000</v>
      </c>
      <c r="F68" s="24" t="s">
        <v>63</v>
      </c>
      <c r="G68" s="155" t="s">
        <v>185</v>
      </c>
      <c r="H68" s="175">
        <f t="shared" ref="H68:H121" si="1">E68/C68*100</f>
        <v>103.36053768602977</v>
      </c>
    </row>
    <row r="69" spans="1:8" ht="24" x14ac:dyDescent="0.25">
      <c r="A69" s="24" t="s">
        <v>64</v>
      </c>
      <c r="B69" s="115" t="s">
        <v>186</v>
      </c>
      <c r="C69" s="130">
        <f>'предлог план со подружници'!C70</f>
        <v>599000</v>
      </c>
      <c r="E69" s="86">
        <v>714000</v>
      </c>
      <c r="F69" s="24" t="s">
        <v>64</v>
      </c>
      <c r="G69" s="150" t="s">
        <v>186</v>
      </c>
      <c r="H69" s="175">
        <f t="shared" si="1"/>
        <v>119.19866444073455</v>
      </c>
    </row>
    <row r="70" spans="1:8" ht="24" x14ac:dyDescent="0.25">
      <c r="A70" s="24" t="s">
        <v>65</v>
      </c>
      <c r="B70" s="115" t="s">
        <v>187</v>
      </c>
      <c r="C70" s="130">
        <f>'предлог план со подружници'!C71</f>
        <v>234508</v>
      </c>
      <c r="E70" s="86">
        <v>279900</v>
      </c>
      <c r="F70" s="24" t="s">
        <v>65</v>
      </c>
      <c r="G70" s="150" t="s">
        <v>187</v>
      </c>
      <c r="H70" s="175">
        <f t="shared" si="1"/>
        <v>119.35626929571698</v>
      </c>
    </row>
    <row r="71" spans="1:8" x14ac:dyDescent="0.25">
      <c r="A71" s="24" t="s">
        <v>66</v>
      </c>
      <c r="B71" s="101" t="s">
        <v>188</v>
      </c>
      <c r="C71" s="130">
        <f>'предлог план со подружници'!C72</f>
        <v>576000</v>
      </c>
      <c r="E71" s="86">
        <v>617000</v>
      </c>
      <c r="F71" s="24" t="s">
        <v>66</v>
      </c>
      <c r="G71" s="156" t="s">
        <v>188</v>
      </c>
      <c r="H71" s="175">
        <f t="shared" si="1"/>
        <v>107.11805555555556</v>
      </c>
    </row>
    <row r="72" spans="1:8" x14ac:dyDescent="0.25">
      <c r="A72" s="24" t="s">
        <v>67</v>
      </c>
      <c r="B72" s="115" t="s">
        <v>189</v>
      </c>
      <c r="C72" s="130">
        <f>'предлог план со подружници'!C73</f>
        <v>200000</v>
      </c>
      <c r="E72" s="86">
        <v>364000</v>
      </c>
      <c r="F72" s="24" t="s">
        <v>67</v>
      </c>
      <c r="G72" s="150" t="s">
        <v>189</v>
      </c>
      <c r="H72" s="175">
        <f t="shared" si="1"/>
        <v>182</v>
      </c>
    </row>
    <row r="73" spans="1:8" x14ac:dyDescent="0.25">
      <c r="A73" s="24" t="s">
        <v>68</v>
      </c>
      <c r="B73" s="115" t="s">
        <v>190</v>
      </c>
      <c r="C73" s="130">
        <f>'предлог план со подружници'!C74</f>
        <v>2231004</v>
      </c>
      <c r="E73" s="86">
        <v>2335000</v>
      </c>
      <c r="F73" s="24" t="s">
        <v>68</v>
      </c>
      <c r="G73" s="150" t="s">
        <v>190</v>
      </c>
      <c r="H73" s="175">
        <f t="shared" si="1"/>
        <v>104.66139908310339</v>
      </c>
    </row>
    <row r="74" spans="1:8" x14ac:dyDescent="0.25">
      <c r="A74" s="24" t="s">
        <v>69</v>
      </c>
      <c r="B74" s="115" t="s">
        <v>191</v>
      </c>
      <c r="C74" s="130">
        <f>'предлог план со подружници'!C75</f>
        <v>1060000</v>
      </c>
      <c r="D74" s="176" t="s">
        <v>124</v>
      </c>
      <c r="E74" s="86">
        <v>1954000</v>
      </c>
      <c r="F74" s="24" t="s">
        <v>69</v>
      </c>
      <c r="G74" s="150" t="s">
        <v>191</v>
      </c>
      <c r="H74" s="175">
        <f t="shared" si="1"/>
        <v>184.33962264150944</v>
      </c>
    </row>
    <row r="75" spans="1:8" ht="30" x14ac:dyDescent="0.25">
      <c r="A75" s="24" t="s">
        <v>70</v>
      </c>
      <c r="B75" s="115" t="s">
        <v>192</v>
      </c>
      <c r="C75" s="177">
        <f>'предлог план со подружници'!C76</f>
        <v>4696000</v>
      </c>
      <c r="E75" s="86">
        <v>10836000</v>
      </c>
      <c r="F75" s="24" t="s">
        <v>70</v>
      </c>
      <c r="G75" s="152" t="s">
        <v>192</v>
      </c>
      <c r="H75" s="175">
        <f t="shared" si="1"/>
        <v>230.7495741056218</v>
      </c>
    </row>
    <row r="76" spans="1:8" x14ac:dyDescent="0.25">
      <c r="A76" s="24" t="s">
        <v>71</v>
      </c>
      <c r="B76" s="115" t="s">
        <v>193</v>
      </c>
      <c r="C76" s="130">
        <f>'предлог план со подружници'!C77</f>
        <v>346000</v>
      </c>
      <c r="E76" s="86">
        <v>481000</v>
      </c>
      <c r="F76" s="24" t="s">
        <v>71</v>
      </c>
      <c r="G76" s="150" t="s">
        <v>193</v>
      </c>
      <c r="H76" s="175">
        <f t="shared" si="1"/>
        <v>139.01734104046244</v>
      </c>
    </row>
    <row r="77" spans="1:8" ht="24" x14ac:dyDescent="0.25">
      <c r="A77" s="24" t="s">
        <v>72</v>
      </c>
      <c r="B77" s="115" t="s">
        <v>194</v>
      </c>
      <c r="C77" s="130">
        <f>'предлог план со подружници'!C78</f>
        <v>1303000</v>
      </c>
      <c r="E77" s="86">
        <v>1307000</v>
      </c>
      <c r="F77" s="24" t="s">
        <v>72</v>
      </c>
      <c r="G77" s="150" t="s">
        <v>194</v>
      </c>
      <c r="H77" s="175">
        <f t="shared" si="1"/>
        <v>100.30698388334613</v>
      </c>
    </row>
    <row r="78" spans="1:8" x14ac:dyDescent="0.25">
      <c r="A78" s="24" t="s">
        <v>73</v>
      </c>
      <c r="B78" s="115" t="s">
        <v>235</v>
      </c>
      <c r="C78" s="182">
        <f>'предлог план со подружници'!C79</f>
        <v>1691000</v>
      </c>
      <c r="E78" s="86">
        <v>1704000</v>
      </c>
      <c r="F78" s="24" t="s">
        <v>73</v>
      </c>
      <c r="G78" s="150" t="s">
        <v>235</v>
      </c>
      <c r="H78" s="175">
        <f t="shared" si="1"/>
        <v>100.76877587226494</v>
      </c>
    </row>
    <row r="79" spans="1:8" x14ac:dyDescent="0.25">
      <c r="A79" s="24" t="s">
        <v>74</v>
      </c>
      <c r="B79" s="115" t="s">
        <v>195</v>
      </c>
      <c r="C79" s="130">
        <f>'предлог план со подружници'!C80</f>
        <v>210000</v>
      </c>
      <c r="E79" s="86">
        <v>208000</v>
      </c>
      <c r="F79" s="24" t="s">
        <v>74</v>
      </c>
      <c r="G79" s="150" t="s">
        <v>195</v>
      </c>
      <c r="H79" s="175">
        <f t="shared" si="1"/>
        <v>99.047619047619051</v>
      </c>
    </row>
    <row r="80" spans="1:8" x14ac:dyDescent="0.25">
      <c r="A80" s="24" t="s">
        <v>75</v>
      </c>
      <c r="B80" s="115" t="s">
        <v>196</v>
      </c>
      <c r="C80" s="130">
        <f>'предлог план со подружници'!C81</f>
        <v>980000</v>
      </c>
      <c r="E80" s="86">
        <v>1132000</v>
      </c>
      <c r="F80" s="24" t="s">
        <v>75</v>
      </c>
      <c r="G80" s="150" t="s">
        <v>196</v>
      </c>
      <c r="H80" s="175">
        <f t="shared" si="1"/>
        <v>115.51020408163266</v>
      </c>
    </row>
    <row r="81" spans="1:8" x14ac:dyDescent="0.25">
      <c r="A81" s="24" t="s">
        <v>76</v>
      </c>
      <c r="B81" s="115" t="s">
        <v>197</v>
      </c>
      <c r="C81" s="130">
        <f>'предлог план со подружници'!C82</f>
        <v>817500</v>
      </c>
      <c r="E81" s="86">
        <v>677500</v>
      </c>
      <c r="F81" s="24" t="s">
        <v>76</v>
      </c>
      <c r="G81" s="155" t="s">
        <v>197</v>
      </c>
      <c r="H81" s="175">
        <f t="shared" si="1"/>
        <v>82.874617737003049</v>
      </c>
    </row>
    <row r="82" spans="1:8" x14ac:dyDescent="0.25">
      <c r="A82" s="24" t="s">
        <v>77</v>
      </c>
      <c r="B82" s="115" t="s">
        <v>198</v>
      </c>
      <c r="C82" s="130">
        <f>'предлог план со подружници'!C83</f>
        <v>80000</v>
      </c>
      <c r="E82" s="86">
        <v>112000</v>
      </c>
      <c r="F82" s="24" t="s">
        <v>77</v>
      </c>
      <c r="G82" s="150" t="s">
        <v>198</v>
      </c>
      <c r="H82" s="175">
        <f t="shared" si="1"/>
        <v>140</v>
      </c>
    </row>
    <row r="83" spans="1:8" x14ac:dyDescent="0.25">
      <c r="A83" s="24" t="s">
        <v>78</v>
      </c>
      <c r="B83" s="115" t="s">
        <v>199</v>
      </c>
      <c r="C83" s="130">
        <f>'предлог план со подружници'!C84</f>
        <v>215200</v>
      </c>
      <c r="E83" s="86">
        <v>288000</v>
      </c>
      <c r="F83" s="24" t="s">
        <v>78</v>
      </c>
      <c r="G83" s="150" t="s">
        <v>199</v>
      </c>
      <c r="H83" s="175">
        <f t="shared" si="1"/>
        <v>133.8289962825279</v>
      </c>
    </row>
    <row r="84" spans="1:8" x14ac:dyDescent="0.25">
      <c r="A84" s="27" t="s">
        <v>79</v>
      </c>
      <c r="B84" s="118" t="s">
        <v>200</v>
      </c>
      <c r="C84" s="182">
        <f>'предлог план со подружници'!C85</f>
        <v>1040000</v>
      </c>
      <c r="E84" s="86">
        <v>1033000</v>
      </c>
      <c r="F84" s="171" t="s">
        <v>79</v>
      </c>
      <c r="G84" s="172" t="s">
        <v>200</v>
      </c>
      <c r="H84" s="175">
        <f t="shared" si="1"/>
        <v>99.32692307692308</v>
      </c>
    </row>
    <row r="85" spans="1:8" x14ac:dyDescent="0.25">
      <c r="A85" s="27" t="s">
        <v>80</v>
      </c>
      <c r="B85" s="58" t="s">
        <v>201</v>
      </c>
      <c r="C85" s="130">
        <f>'предлог план со подружници'!C86</f>
        <v>103600</v>
      </c>
      <c r="E85" s="86">
        <v>106000</v>
      </c>
      <c r="F85" s="173" t="s">
        <v>80</v>
      </c>
      <c r="G85" s="174" t="s">
        <v>234</v>
      </c>
      <c r="H85" s="175">
        <f t="shared" si="1"/>
        <v>102.31660231660231</v>
      </c>
    </row>
    <row r="86" spans="1:8" x14ac:dyDescent="0.25">
      <c r="A86" s="24"/>
      <c r="B86" s="58" t="s">
        <v>202</v>
      </c>
      <c r="C86" s="130">
        <f>'предлог план со подружници'!C87</f>
        <v>180000</v>
      </c>
      <c r="E86" s="86">
        <v>180000</v>
      </c>
      <c r="F86" s="24" t="s">
        <v>118</v>
      </c>
      <c r="G86" s="150" t="s">
        <v>202</v>
      </c>
      <c r="H86" s="175">
        <f t="shared" si="1"/>
        <v>100</v>
      </c>
    </row>
    <row r="87" spans="1:8" x14ac:dyDescent="0.25">
      <c r="A87" s="31">
        <v>2.4</v>
      </c>
      <c r="B87" s="109" t="s">
        <v>203</v>
      </c>
      <c r="C87" s="130">
        <f>'предлог план со подружници'!C88</f>
        <v>38912567</v>
      </c>
      <c r="E87" s="86">
        <v>43225087</v>
      </c>
      <c r="F87" s="24" t="s">
        <v>120</v>
      </c>
      <c r="G87" s="158" t="s">
        <v>203</v>
      </c>
      <c r="H87" s="175">
        <f t="shared" si="1"/>
        <v>111.08258933418604</v>
      </c>
    </row>
    <row r="88" spans="1:8" x14ac:dyDescent="0.25">
      <c r="A88" s="24" t="s">
        <v>81</v>
      </c>
      <c r="B88" s="119" t="s">
        <v>204</v>
      </c>
      <c r="C88" s="130">
        <f>'предлог план со подружници'!C89</f>
        <v>25674467</v>
      </c>
      <c r="E88" s="86">
        <v>27539691</v>
      </c>
      <c r="F88" s="24" t="s">
        <v>121</v>
      </c>
      <c r="G88" s="159" t="s">
        <v>204</v>
      </c>
      <c r="H88" s="175">
        <f t="shared" si="1"/>
        <v>107.26489862476988</v>
      </c>
    </row>
    <row r="89" spans="1:8" x14ac:dyDescent="0.25">
      <c r="A89" s="24" t="s">
        <v>82</v>
      </c>
      <c r="B89" s="98" t="s">
        <v>205</v>
      </c>
      <c r="C89" s="130">
        <f>'предлог план со подружници'!C90</f>
        <v>3010000</v>
      </c>
      <c r="E89" s="86">
        <v>3310000</v>
      </c>
      <c r="F89" s="24" t="s">
        <v>82</v>
      </c>
      <c r="G89" s="160" t="s">
        <v>205</v>
      </c>
      <c r="H89" s="175">
        <f t="shared" si="1"/>
        <v>109.96677740863787</v>
      </c>
    </row>
    <row r="90" spans="1:8" x14ac:dyDescent="0.25">
      <c r="A90" s="24" t="s">
        <v>83</v>
      </c>
      <c r="B90" s="98" t="s">
        <v>206</v>
      </c>
      <c r="C90" s="130">
        <f>'предлог план со подружници'!C91</f>
        <v>14859467</v>
      </c>
      <c r="E90" s="86">
        <v>15074691</v>
      </c>
      <c r="F90" s="24" t="s">
        <v>83</v>
      </c>
      <c r="G90" s="160" t="s">
        <v>206</v>
      </c>
      <c r="H90" s="175">
        <f t="shared" si="1"/>
        <v>101.448396500359</v>
      </c>
    </row>
    <row r="91" spans="1:8" x14ac:dyDescent="0.25">
      <c r="A91" s="24" t="s">
        <v>84</v>
      </c>
      <c r="B91" s="98" t="s">
        <v>207</v>
      </c>
      <c r="C91" s="130">
        <f>'предлог план со подружници'!C92</f>
        <v>200000</v>
      </c>
      <c r="E91" s="86">
        <v>200000</v>
      </c>
      <c r="F91" s="24" t="s">
        <v>84</v>
      </c>
      <c r="G91" s="160" t="s">
        <v>207</v>
      </c>
      <c r="H91" s="175">
        <f t="shared" si="1"/>
        <v>100</v>
      </c>
    </row>
    <row r="92" spans="1:8" x14ac:dyDescent="0.25">
      <c r="A92" s="24" t="s">
        <v>85</v>
      </c>
      <c r="B92" s="98" t="s">
        <v>208</v>
      </c>
      <c r="C92" s="130">
        <f>'предлог план со подружници'!C93</f>
        <v>2110000</v>
      </c>
      <c r="E92" s="86">
        <v>2800000</v>
      </c>
      <c r="F92" s="24" t="s">
        <v>85</v>
      </c>
      <c r="G92" s="160" t="s">
        <v>208</v>
      </c>
      <c r="H92" s="175">
        <f t="shared" si="1"/>
        <v>132.70142180094786</v>
      </c>
    </row>
    <row r="93" spans="1:8" x14ac:dyDescent="0.25">
      <c r="A93" s="24" t="s">
        <v>86</v>
      </c>
      <c r="B93" s="98" t="s">
        <v>209</v>
      </c>
      <c r="C93" s="130">
        <f>'предлог план со подружници'!C94</f>
        <v>210000</v>
      </c>
      <c r="E93" s="86">
        <v>210000</v>
      </c>
      <c r="F93" s="24" t="s">
        <v>86</v>
      </c>
      <c r="G93" s="160" t="s">
        <v>209</v>
      </c>
      <c r="H93" s="175">
        <f t="shared" si="1"/>
        <v>100</v>
      </c>
    </row>
    <row r="94" spans="1:8" x14ac:dyDescent="0.25">
      <c r="A94" s="24" t="s">
        <v>87</v>
      </c>
      <c r="B94" s="98" t="s">
        <v>210</v>
      </c>
      <c r="C94" s="130">
        <f>'предлог план со подружници'!C95</f>
        <v>50000</v>
      </c>
      <c r="E94" s="86">
        <v>250000</v>
      </c>
      <c r="F94" s="24" t="s">
        <v>87</v>
      </c>
      <c r="G94" s="160" t="s">
        <v>210</v>
      </c>
      <c r="H94" s="175">
        <f t="shared" si="1"/>
        <v>500</v>
      </c>
    </row>
    <row r="95" spans="1:8" x14ac:dyDescent="0.25">
      <c r="A95" s="24" t="s">
        <v>88</v>
      </c>
      <c r="B95" s="98" t="s">
        <v>211</v>
      </c>
      <c r="C95" s="130">
        <f>'предлог план со подружници'!C96</f>
        <v>425000</v>
      </c>
      <c r="E95" s="86">
        <v>525000</v>
      </c>
      <c r="F95" s="24" t="s">
        <v>88</v>
      </c>
      <c r="G95" s="160" t="s">
        <v>211</v>
      </c>
      <c r="H95" s="175">
        <f t="shared" si="1"/>
        <v>123.52941176470588</v>
      </c>
    </row>
    <row r="96" spans="1:8" x14ac:dyDescent="0.25">
      <c r="A96" s="24" t="s">
        <v>89</v>
      </c>
      <c r="B96" s="98" t="s">
        <v>212</v>
      </c>
      <c r="C96" s="130">
        <f>'предлог план со подружници'!C97</f>
        <v>4600600</v>
      </c>
      <c r="E96" s="86">
        <v>4821000</v>
      </c>
      <c r="F96" s="24" t="s">
        <v>89</v>
      </c>
      <c r="G96" s="160" t="s">
        <v>212</v>
      </c>
      <c r="H96" s="175">
        <f t="shared" si="1"/>
        <v>104.79067947659001</v>
      </c>
    </row>
    <row r="97" spans="1:8" ht="25.5" x14ac:dyDescent="0.25">
      <c r="A97" s="24" t="s">
        <v>90</v>
      </c>
      <c r="B97" s="110" t="s">
        <v>213</v>
      </c>
      <c r="C97" s="130">
        <f>'предлог план со подружници'!C98</f>
        <v>209400</v>
      </c>
      <c r="E97" s="86">
        <v>349000</v>
      </c>
      <c r="F97" s="24" t="s">
        <v>90</v>
      </c>
      <c r="G97" s="161" t="s">
        <v>213</v>
      </c>
      <c r="H97" s="175">
        <f t="shared" si="1"/>
        <v>166.66666666666669</v>
      </c>
    </row>
    <row r="98" spans="1:8" x14ac:dyDescent="0.25">
      <c r="A98" s="24" t="s">
        <v>91</v>
      </c>
      <c r="B98" s="120" t="s">
        <v>214</v>
      </c>
      <c r="C98" s="182">
        <f>'предлог план со подружници'!C99</f>
        <v>1887000</v>
      </c>
      <c r="D98">
        <v>400000</v>
      </c>
      <c r="E98" s="86">
        <v>3080000</v>
      </c>
      <c r="F98" s="24" t="s">
        <v>91</v>
      </c>
      <c r="G98" s="162" t="s">
        <v>214</v>
      </c>
      <c r="H98" s="175">
        <f t="shared" si="1"/>
        <v>163.22204557498674</v>
      </c>
    </row>
    <row r="99" spans="1:8" x14ac:dyDescent="0.25">
      <c r="A99" s="24" t="s">
        <v>92</v>
      </c>
      <c r="B99" s="120" t="s">
        <v>215</v>
      </c>
      <c r="C99" s="130">
        <f>'предлог план со подружници'!C100</f>
        <v>0</v>
      </c>
      <c r="E99" s="86">
        <v>30000</v>
      </c>
      <c r="F99" s="24" t="s">
        <v>92</v>
      </c>
      <c r="G99" s="162" t="s">
        <v>215</v>
      </c>
      <c r="H99" s="175" t="e">
        <f t="shared" si="1"/>
        <v>#DIV/0!</v>
      </c>
    </row>
    <row r="100" spans="1:8" ht="19.5" customHeight="1" x14ac:dyDescent="0.25">
      <c r="A100" s="24" t="s">
        <v>93</v>
      </c>
      <c r="B100" s="120" t="s">
        <v>216</v>
      </c>
      <c r="C100" s="130">
        <f>'предлог план со подружници'!C101</f>
        <v>1567100</v>
      </c>
      <c r="E100" s="86">
        <v>1617800</v>
      </c>
      <c r="F100" s="24" t="s">
        <v>93</v>
      </c>
      <c r="G100" s="162" t="s">
        <v>216</v>
      </c>
      <c r="H100" s="175">
        <f t="shared" si="1"/>
        <v>103.23527534937145</v>
      </c>
    </row>
    <row r="101" spans="1:8" x14ac:dyDescent="0.25">
      <c r="A101" s="27" t="s">
        <v>94</v>
      </c>
      <c r="B101" s="121" t="s">
        <v>217</v>
      </c>
      <c r="C101" s="130">
        <f>'предлог план со подружници'!C102</f>
        <v>1124600</v>
      </c>
      <c r="E101" s="86">
        <v>2874600</v>
      </c>
      <c r="F101" s="27" t="s">
        <v>94</v>
      </c>
      <c r="G101" s="163" t="s">
        <v>217</v>
      </c>
      <c r="H101" s="175">
        <f t="shared" si="1"/>
        <v>255.61088386982038</v>
      </c>
    </row>
    <row r="102" spans="1:8" x14ac:dyDescent="0.25">
      <c r="A102" s="27" t="s">
        <v>95</v>
      </c>
      <c r="B102" s="121" t="s">
        <v>218</v>
      </c>
      <c r="C102" s="130">
        <f>'предлог план со подружници'!C103</f>
        <v>0</v>
      </c>
      <c r="E102" s="86">
        <v>0</v>
      </c>
      <c r="F102" s="27" t="s">
        <v>95</v>
      </c>
      <c r="G102" s="163" t="s">
        <v>218</v>
      </c>
      <c r="H102" s="175"/>
    </row>
    <row r="103" spans="1:8" x14ac:dyDescent="0.25">
      <c r="A103" s="27" t="s">
        <v>97</v>
      </c>
      <c r="B103" s="121" t="s">
        <v>219</v>
      </c>
      <c r="C103" s="130">
        <f>'предлог план со подружници'!C104</f>
        <v>575400</v>
      </c>
      <c r="E103" s="86">
        <v>983000</v>
      </c>
      <c r="F103" s="27" t="s">
        <v>97</v>
      </c>
      <c r="G103" s="163" t="s">
        <v>219</v>
      </c>
      <c r="H103" s="175">
        <f t="shared" si="1"/>
        <v>170.8376781369482</v>
      </c>
    </row>
    <row r="104" spans="1:8" x14ac:dyDescent="0.25">
      <c r="A104" s="28" t="s">
        <v>116</v>
      </c>
      <c r="B104" s="122" t="s">
        <v>249</v>
      </c>
      <c r="C104" s="130">
        <f>'предлог план со подружници'!C105</f>
        <v>200000</v>
      </c>
      <c r="E104">
        <v>150000</v>
      </c>
      <c r="F104" s="129"/>
      <c r="G104" s="129"/>
      <c r="H104" s="175">
        <f t="shared" si="1"/>
        <v>75</v>
      </c>
    </row>
    <row r="105" spans="1:8" ht="22.5" x14ac:dyDescent="0.25">
      <c r="A105" s="28" t="s">
        <v>117</v>
      </c>
      <c r="B105" s="222" t="s">
        <v>220</v>
      </c>
      <c r="C105" s="130">
        <f>'предлог план со подружници'!C106</f>
        <v>2700000</v>
      </c>
      <c r="E105">
        <v>2530000</v>
      </c>
      <c r="F105" s="129"/>
      <c r="G105" s="129"/>
      <c r="H105" s="175">
        <f t="shared" si="1"/>
        <v>93.703703703703695</v>
      </c>
    </row>
    <row r="106" spans="1:8" ht="24" x14ac:dyDescent="0.25">
      <c r="A106" s="28" t="s">
        <v>98</v>
      </c>
      <c r="B106" s="123" t="s">
        <v>233</v>
      </c>
      <c r="C106" s="130">
        <f>'предлог план со подружници'!C107</f>
        <v>5184000</v>
      </c>
      <c r="E106" s="86">
        <v>4419996</v>
      </c>
      <c r="F106" s="28" t="s">
        <v>98</v>
      </c>
      <c r="G106" s="164" t="s">
        <v>233</v>
      </c>
      <c r="H106" s="175">
        <f t="shared" si="1"/>
        <v>85.262268518518511</v>
      </c>
    </row>
    <row r="107" spans="1:8" x14ac:dyDescent="0.25">
      <c r="A107" s="28" t="s">
        <v>99</v>
      </c>
      <c r="B107" s="118" t="s">
        <v>232</v>
      </c>
      <c r="C107" s="130">
        <f>'предлог план со подружници'!C108</f>
        <v>370000</v>
      </c>
      <c r="E107" s="86">
        <v>400000</v>
      </c>
      <c r="F107" s="28" t="s">
        <v>99</v>
      </c>
      <c r="G107" s="157" t="s">
        <v>232</v>
      </c>
      <c r="H107" s="175">
        <f t="shared" si="1"/>
        <v>108.10810810810811</v>
      </c>
    </row>
    <row r="108" spans="1:8" ht="11.25" customHeight="1" x14ac:dyDescent="0.25">
      <c r="A108" s="28" t="s">
        <v>100</v>
      </c>
      <c r="B108" s="118"/>
      <c r="C108" s="130">
        <f>'предлог план со подружници'!C109</f>
        <v>0</v>
      </c>
      <c r="E108" s="86">
        <v>0</v>
      </c>
      <c r="F108" s="28" t="s">
        <v>100</v>
      </c>
      <c r="G108" s="157"/>
      <c r="H108" s="175"/>
    </row>
    <row r="109" spans="1:8" x14ac:dyDescent="0.25">
      <c r="A109" s="28" t="s">
        <v>101</v>
      </c>
      <c r="B109" s="118" t="s">
        <v>221</v>
      </c>
      <c r="C109" s="130">
        <f>'предлог план со подружници'!C110</f>
        <v>1960000</v>
      </c>
      <c r="E109" s="86">
        <v>1920000</v>
      </c>
      <c r="F109" s="28" t="s">
        <v>101</v>
      </c>
      <c r="G109" s="157" t="s">
        <v>221</v>
      </c>
      <c r="H109" s="175">
        <f t="shared" si="1"/>
        <v>97.959183673469383</v>
      </c>
    </row>
    <row r="110" spans="1:8" x14ac:dyDescent="0.25">
      <c r="A110" s="28" t="s">
        <v>102</v>
      </c>
      <c r="B110" s="118" t="s">
        <v>222</v>
      </c>
      <c r="C110" s="130">
        <f>'предлог план со подружници'!C111</f>
        <v>1750000</v>
      </c>
      <c r="E110" s="86">
        <v>1850000</v>
      </c>
      <c r="F110" s="28" t="s">
        <v>102</v>
      </c>
      <c r="G110" s="157" t="s">
        <v>222</v>
      </c>
      <c r="H110" s="175">
        <f t="shared" si="1"/>
        <v>105.71428571428572</v>
      </c>
    </row>
    <row r="111" spans="1:8" x14ac:dyDescent="0.25">
      <c r="A111" s="28" t="s">
        <v>103</v>
      </c>
      <c r="B111" s="118" t="s">
        <v>223</v>
      </c>
      <c r="C111" s="130">
        <f>'предлог план со подружници'!C112</f>
        <v>250000</v>
      </c>
      <c r="E111" s="86">
        <v>249996</v>
      </c>
      <c r="F111" s="28" t="s">
        <v>103</v>
      </c>
      <c r="G111" s="157" t="s">
        <v>223</v>
      </c>
      <c r="H111" s="175">
        <f t="shared" si="1"/>
        <v>99.998400000000004</v>
      </c>
    </row>
    <row r="112" spans="1:8" ht="19.5" customHeight="1" x14ac:dyDescent="0.25">
      <c r="A112" s="19" t="s">
        <v>104</v>
      </c>
      <c r="B112" s="109" t="s">
        <v>224</v>
      </c>
      <c r="C112" s="130">
        <f>'предлог план со подружници'!C114</f>
        <v>360000</v>
      </c>
      <c r="E112" s="86">
        <v>5582000</v>
      </c>
      <c r="F112" s="19" t="s">
        <v>104</v>
      </c>
      <c r="G112" s="158" t="s">
        <v>224</v>
      </c>
      <c r="H112" s="175">
        <f t="shared" si="1"/>
        <v>1550.5555555555557</v>
      </c>
    </row>
    <row r="113" spans="1:8" x14ac:dyDescent="0.25">
      <c r="A113" s="30" t="s">
        <v>105</v>
      </c>
      <c r="B113" s="63" t="s">
        <v>252</v>
      </c>
      <c r="C113" s="130">
        <f>'предлог план со подружници'!C115</f>
        <v>0</v>
      </c>
      <c r="E113" s="86"/>
      <c r="F113" s="30" t="s">
        <v>105</v>
      </c>
      <c r="G113" s="165"/>
      <c r="H113" s="175" t="e">
        <f t="shared" si="1"/>
        <v>#DIV/0!</v>
      </c>
    </row>
    <row r="114" spans="1:8" x14ac:dyDescent="0.25">
      <c r="A114" s="30" t="s">
        <v>106</v>
      </c>
      <c r="B114" s="124" t="s">
        <v>225</v>
      </c>
      <c r="C114" s="130">
        <f>'предлог план со подружници'!C116</f>
        <v>0</v>
      </c>
      <c r="E114" s="86">
        <v>0</v>
      </c>
      <c r="F114" s="30" t="s">
        <v>106</v>
      </c>
      <c r="G114" s="165" t="s">
        <v>225</v>
      </c>
      <c r="H114" s="175" t="e">
        <f t="shared" si="1"/>
        <v>#DIV/0!</v>
      </c>
    </row>
    <row r="115" spans="1:8" x14ac:dyDescent="0.25">
      <c r="A115" s="30" t="s">
        <v>108</v>
      </c>
      <c r="B115" s="124" t="s">
        <v>226</v>
      </c>
      <c r="C115" s="130">
        <f>'предлог план со подружници'!C117</f>
        <v>360000</v>
      </c>
      <c r="E115" s="86">
        <v>5582000</v>
      </c>
      <c r="F115" s="30" t="s">
        <v>108</v>
      </c>
      <c r="G115" s="165" t="s">
        <v>226</v>
      </c>
      <c r="H115" s="175" t="e">
        <f>#REF!/C115*100</f>
        <v>#REF!</v>
      </c>
    </row>
    <row r="116" spans="1:8" x14ac:dyDescent="0.25">
      <c r="A116" s="30" t="s">
        <v>109</v>
      </c>
      <c r="B116" s="106" t="s">
        <v>227</v>
      </c>
      <c r="C116" s="130">
        <f>'предлог план со подружници'!C118</f>
        <v>0</v>
      </c>
      <c r="E116" s="86">
        <v>0</v>
      </c>
      <c r="F116" s="30" t="s">
        <v>109</v>
      </c>
      <c r="G116" s="165"/>
      <c r="H116" s="175"/>
    </row>
    <row r="117" spans="1:8" x14ac:dyDescent="0.25">
      <c r="A117" s="19" t="s">
        <v>111</v>
      </c>
      <c r="B117" s="125" t="s">
        <v>228</v>
      </c>
      <c r="C117" s="130">
        <f>'предлог план со подружници'!C120</f>
        <v>171452367</v>
      </c>
      <c r="D117">
        <v>142757994</v>
      </c>
      <c r="E117" s="86">
        <v>142522481</v>
      </c>
      <c r="F117" s="19" t="s">
        <v>111</v>
      </c>
      <c r="G117" s="166" t="s">
        <v>228</v>
      </c>
      <c r="H117" s="175">
        <f>E116/C117*100</f>
        <v>0</v>
      </c>
    </row>
    <row r="118" spans="1:8" x14ac:dyDescent="0.25">
      <c r="A118" s="19" t="s">
        <v>112</v>
      </c>
      <c r="B118" s="125" t="s">
        <v>229</v>
      </c>
      <c r="C118" s="177">
        <f>'предлог план со подружници'!C121</f>
        <v>3231000</v>
      </c>
      <c r="D118">
        <f>D117-D24</f>
        <v>11252366</v>
      </c>
      <c r="E118" s="86">
        <v>350000</v>
      </c>
      <c r="F118" s="19" t="s">
        <v>112</v>
      </c>
      <c r="G118" s="167" t="s">
        <v>229</v>
      </c>
      <c r="H118" s="175">
        <f>E117/C118*100</f>
        <v>4411.0950479727644</v>
      </c>
    </row>
    <row r="119" spans="1:8" ht="24" x14ac:dyDescent="0.25">
      <c r="A119" s="20" t="s">
        <v>113</v>
      </c>
      <c r="B119" s="126" t="s">
        <v>230</v>
      </c>
      <c r="C119" s="130">
        <f>'предлог план со подружници'!C122</f>
        <v>98728814</v>
      </c>
      <c r="E119" s="86"/>
      <c r="F119" s="20" t="s">
        <v>113</v>
      </c>
      <c r="G119" s="168" t="s">
        <v>230</v>
      </c>
      <c r="H119" s="175">
        <f>E118/C119*100</f>
        <v>0.354506436185894</v>
      </c>
    </row>
    <row r="120" spans="1:8" x14ac:dyDescent="0.25">
      <c r="A120" s="29"/>
      <c r="B120" s="127"/>
      <c r="C120" s="130">
        <f>'предлог план со подружници'!C123</f>
        <v>0</v>
      </c>
      <c r="F120" s="29"/>
      <c r="G120" s="169"/>
      <c r="H120" s="175"/>
    </row>
    <row r="121" spans="1:8" x14ac:dyDescent="0.25">
      <c r="A121" s="21" t="s">
        <v>114</v>
      </c>
      <c r="B121" s="128" t="s">
        <v>231</v>
      </c>
      <c r="C121" s="130">
        <f>'предлог план со подружници'!C124</f>
        <v>1519362</v>
      </c>
      <c r="E121" s="86">
        <f>E3-E26</f>
        <v>558676.36694669724</v>
      </c>
      <c r="F121" s="21" t="s">
        <v>114</v>
      </c>
      <c r="G121" s="170" t="s">
        <v>231</v>
      </c>
      <c r="H121" s="175">
        <f t="shared" si="1"/>
        <v>36.770458057177763</v>
      </c>
    </row>
    <row r="122" spans="1:8" x14ac:dyDescent="0.25">
      <c r="B122" s="102"/>
    </row>
  </sheetData>
  <pageMargins left="3.937007874015748E-2" right="0.23622047244094491" top="0.15748031496062992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9"/>
  <sheetViews>
    <sheetView tabSelected="1" topLeftCell="A108" workbookViewId="0">
      <selection activeCell="B129" sqref="B129"/>
    </sheetView>
  </sheetViews>
  <sheetFormatPr defaultRowHeight="15" x14ac:dyDescent="0.25"/>
  <cols>
    <col min="2" max="2" width="57.140625" customWidth="1"/>
    <col min="3" max="3" width="14.7109375" customWidth="1"/>
    <col min="5" max="5" width="16.5703125" customWidth="1"/>
    <col min="9" max="9" width="10" bestFit="1" customWidth="1"/>
  </cols>
  <sheetData>
    <row r="2" spans="1:5" x14ac:dyDescent="0.25">
      <c r="A2" s="1"/>
      <c r="B2" s="32" t="s">
        <v>265</v>
      </c>
    </row>
    <row r="3" spans="1:5" x14ac:dyDescent="0.25">
      <c r="A3" s="1"/>
      <c r="B3" s="33"/>
      <c r="C3" s="204" t="s">
        <v>266</v>
      </c>
      <c r="D3" s="204"/>
      <c r="E3" s="204" t="s">
        <v>267</v>
      </c>
    </row>
    <row r="4" spans="1:5" x14ac:dyDescent="0.25">
      <c r="A4" s="18">
        <v>1</v>
      </c>
      <c r="B4" s="104" t="s">
        <v>125</v>
      </c>
      <c r="C4" s="221">
        <v>696038178</v>
      </c>
      <c r="D4" s="130"/>
      <c r="E4" s="130">
        <v>571330466.3669467</v>
      </c>
    </row>
    <row r="5" spans="1:5" x14ac:dyDescent="0.25">
      <c r="A5" s="18" t="s">
        <v>0</v>
      </c>
      <c r="B5" s="183" t="s">
        <v>126</v>
      </c>
      <c r="C5" s="221">
        <v>233541389</v>
      </c>
      <c r="D5" s="130"/>
      <c r="E5" s="130">
        <v>228734966.36694676</v>
      </c>
    </row>
    <row r="6" spans="1:5" x14ac:dyDescent="0.25">
      <c r="A6" s="18" t="s">
        <v>1</v>
      </c>
      <c r="B6" s="184" t="s">
        <v>132</v>
      </c>
      <c r="C6" s="130">
        <v>195241389</v>
      </c>
      <c r="D6" s="130"/>
      <c r="E6" s="130">
        <v>190609966.36694676</v>
      </c>
    </row>
    <row r="7" spans="1:5" x14ac:dyDescent="0.25">
      <c r="A7" s="18" t="s">
        <v>2</v>
      </c>
      <c r="B7" s="184" t="s">
        <v>133</v>
      </c>
      <c r="C7" s="130">
        <v>38300000</v>
      </c>
      <c r="D7" s="130"/>
      <c r="E7" s="130">
        <v>38125000</v>
      </c>
    </row>
    <row r="8" spans="1:5" ht="30" x14ac:dyDescent="0.25">
      <c r="A8" s="18" t="s">
        <v>3</v>
      </c>
      <c r="B8" s="183" t="s">
        <v>127</v>
      </c>
      <c r="C8" s="221">
        <v>74567352</v>
      </c>
      <c r="D8" s="130"/>
      <c r="E8" s="130">
        <v>84190885</v>
      </c>
    </row>
    <row r="9" spans="1:5" x14ac:dyDescent="0.25">
      <c r="A9" s="18" t="s">
        <v>4</v>
      </c>
      <c r="B9" s="184" t="s">
        <v>131</v>
      </c>
      <c r="C9" s="130">
        <v>50223000</v>
      </c>
      <c r="D9" s="130"/>
      <c r="E9" s="130">
        <v>62884131</v>
      </c>
    </row>
    <row r="10" spans="1:5" x14ac:dyDescent="0.25">
      <c r="A10" s="18" t="s">
        <v>5</v>
      </c>
      <c r="B10" s="184" t="s">
        <v>128</v>
      </c>
      <c r="C10" s="130">
        <v>14110300</v>
      </c>
      <c r="D10" s="130"/>
      <c r="E10" s="130">
        <v>12829025</v>
      </c>
    </row>
    <row r="11" spans="1:5" x14ac:dyDescent="0.25">
      <c r="A11" s="18" t="s">
        <v>6</v>
      </c>
      <c r="B11" s="184" t="s">
        <v>129</v>
      </c>
      <c r="C11" s="130">
        <v>10234052</v>
      </c>
      <c r="D11" s="130"/>
      <c r="E11" s="130">
        <v>8477729</v>
      </c>
    </row>
    <row r="12" spans="1:5" x14ac:dyDescent="0.25">
      <c r="A12" s="18" t="s">
        <v>7</v>
      </c>
      <c r="B12" s="183" t="s">
        <v>130</v>
      </c>
      <c r="C12" s="221">
        <v>63341640</v>
      </c>
      <c r="D12" s="130"/>
      <c r="E12" s="130">
        <v>62770000</v>
      </c>
    </row>
    <row r="13" spans="1:5" x14ac:dyDescent="0.25">
      <c r="A13" s="18" t="s">
        <v>8</v>
      </c>
      <c r="B13" s="184" t="s">
        <v>134</v>
      </c>
      <c r="C13" s="130">
        <v>31958000</v>
      </c>
      <c r="D13" s="130"/>
      <c r="E13" s="130">
        <v>31550000</v>
      </c>
    </row>
    <row r="14" spans="1:5" x14ac:dyDescent="0.25">
      <c r="A14" s="18" t="s">
        <v>9</v>
      </c>
      <c r="B14" s="184" t="s">
        <v>135</v>
      </c>
      <c r="C14" s="130">
        <v>31383640</v>
      </c>
      <c r="D14" s="130"/>
      <c r="E14" s="130">
        <v>31220000</v>
      </c>
    </row>
    <row r="15" spans="1:5" x14ac:dyDescent="0.25">
      <c r="A15" s="18" t="s">
        <v>10</v>
      </c>
      <c r="B15" s="183" t="s">
        <v>136</v>
      </c>
      <c r="C15" s="221">
        <v>5310000</v>
      </c>
      <c r="D15" s="130"/>
      <c r="E15" s="130">
        <v>4760000</v>
      </c>
    </row>
    <row r="16" spans="1:5" x14ac:dyDescent="0.25">
      <c r="A16" s="18" t="s">
        <v>11</v>
      </c>
      <c r="B16" s="184" t="s">
        <v>137</v>
      </c>
      <c r="C16" s="130">
        <v>5310000</v>
      </c>
      <c r="D16" s="130"/>
      <c r="E16" s="130">
        <v>4760000</v>
      </c>
    </row>
    <row r="17" spans="1:5" x14ac:dyDescent="0.25">
      <c r="A17" s="18" t="s">
        <v>12</v>
      </c>
      <c r="B17" s="183" t="s">
        <v>138</v>
      </c>
      <c r="C17" s="221">
        <v>156912578</v>
      </c>
      <c r="D17" s="130"/>
      <c r="E17" s="130">
        <v>59368987</v>
      </c>
    </row>
    <row r="18" spans="1:5" x14ac:dyDescent="0.25">
      <c r="A18" s="18" t="s">
        <v>13</v>
      </c>
      <c r="B18" s="184" t="s">
        <v>139</v>
      </c>
      <c r="C18" s="130">
        <v>720000</v>
      </c>
      <c r="D18" s="130"/>
      <c r="E18" s="130">
        <v>1257247</v>
      </c>
    </row>
    <row r="19" spans="1:5" x14ac:dyDescent="0.25">
      <c r="A19" s="18" t="s">
        <v>14</v>
      </c>
      <c r="B19" s="184" t="s">
        <v>140</v>
      </c>
      <c r="C19" s="130">
        <v>6963764</v>
      </c>
      <c r="D19" s="130"/>
      <c r="E19" s="130">
        <v>8211740</v>
      </c>
    </row>
    <row r="20" spans="1:5" x14ac:dyDescent="0.25">
      <c r="A20" s="18" t="s">
        <v>15</v>
      </c>
      <c r="B20" s="184" t="s">
        <v>141</v>
      </c>
      <c r="C20" s="130">
        <v>40000000</v>
      </c>
      <c r="D20" s="130"/>
      <c r="E20" s="130">
        <v>34000000</v>
      </c>
    </row>
    <row r="21" spans="1:5" ht="0.75" customHeight="1" x14ac:dyDescent="0.25">
      <c r="A21" s="18" t="s">
        <v>16</v>
      </c>
      <c r="B21" s="184" t="s">
        <v>17</v>
      </c>
      <c r="C21" s="130">
        <v>0</v>
      </c>
      <c r="D21" s="130"/>
      <c r="E21" s="130">
        <v>0</v>
      </c>
    </row>
    <row r="22" spans="1:5" ht="28.5" x14ac:dyDescent="0.25">
      <c r="A22" s="18" t="s">
        <v>18</v>
      </c>
      <c r="B22" s="185" t="s">
        <v>143</v>
      </c>
      <c r="C22" s="130">
        <v>4800000</v>
      </c>
      <c r="D22" s="130"/>
      <c r="E22" s="130">
        <v>6500000</v>
      </c>
    </row>
    <row r="23" spans="1:5" ht="15" customHeight="1" x14ac:dyDescent="0.25">
      <c r="A23" s="18" t="s">
        <v>19</v>
      </c>
      <c r="B23" s="184" t="s">
        <v>144</v>
      </c>
      <c r="C23" s="130">
        <v>5700000</v>
      </c>
      <c r="D23" s="130"/>
      <c r="E23" s="130">
        <v>9400000</v>
      </c>
    </row>
    <row r="24" spans="1:5" ht="28.5" x14ac:dyDescent="0.25">
      <c r="A24" s="22" t="s">
        <v>20</v>
      </c>
      <c r="B24" s="44" t="s">
        <v>145</v>
      </c>
      <c r="C24" s="130">
        <v>98728814</v>
      </c>
      <c r="D24" s="130"/>
      <c r="E24" s="130">
        <v>0</v>
      </c>
    </row>
    <row r="25" spans="1:5" x14ac:dyDescent="0.25">
      <c r="A25" s="218" t="s">
        <v>115</v>
      </c>
      <c r="B25" s="219" t="s">
        <v>146</v>
      </c>
      <c r="C25" s="220">
        <v>162365219</v>
      </c>
      <c r="D25" s="130"/>
      <c r="E25" s="130">
        <v>131505628</v>
      </c>
    </row>
    <row r="26" spans="1:5" ht="15.75" thickBot="1" x14ac:dyDescent="0.3">
      <c r="A26" s="2"/>
      <c r="B26" s="45"/>
      <c r="C26" s="130">
        <v>0</v>
      </c>
      <c r="D26" s="130"/>
      <c r="E26" s="130"/>
    </row>
    <row r="27" spans="1:5" x14ac:dyDescent="0.25">
      <c r="A27" s="23" t="s">
        <v>21</v>
      </c>
      <c r="B27" s="186" t="s">
        <v>147</v>
      </c>
      <c r="C27" s="221">
        <v>694518816</v>
      </c>
      <c r="D27" s="130"/>
      <c r="E27" s="130">
        <v>570771790</v>
      </c>
    </row>
    <row r="28" spans="1:5" x14ac:dyDescent="0.25">
      <c r="A28" s="24" t="s">
        <v>22</v>
      </c>
      <c r="B28" s="187" t="s">
        <v>148</v>
      </c>
      <c r="C28" s="221">
        <v>258583034</v>
      </c>
      <c r="D28" s="130"/>
      <c r="E28" s="130">
        <v>251493058</v>
      </c>
    </row>
    <row r="29" spans="1:5" x14ac:dyDescent="0.25">
      <c r="A29" s="19" t="s">
        <v>23</v>
      </c>
      <c r="B29" s="48" t="s">
        <v>149</v>
      </c>
      <c r="C29" s="130">
        <v>250301724</v>
      </c>
      <c r="D29" s="130"/>
      <c r="E29" s="130">
        <v>250301724</v>
      </c>
    </row>
    <row r="30" spans="1:5" hidden="1" x14ac:dyDescent="0.25">
      <c r="A30" s="19" t="s">
        <v>24</v>
      </c>
      <c r="B30" s="48"/>
      <c r="C30" s="130">
        <v>0</v>
      </c>
      <c r="D30" s="130"/>
      <c r="E30" s="130">
        <v>0</v>
      </c>
    </row>
    <row r="31" spans="1:5" ht="22.5" customHeight="1" x14ac:dyDescent="0.25">
      <c r="A31" s="19" t="s">
        <v>25</v>
      </c>
      <c r="B31" s="188" t="s">
        <v>151</v>
      </c>
      <c r="C31" s="130">
        <v>8281310</v>
      </c>
      <c r="D31" s="130"/>
      <c r="E31" s="130">
        <v>1191326</v>
      </c>
    </row>
    <row r="32" spans="1:5" x14ac:dyDescent="0.25">
      <c r="A32" s="24" t="s">
        <v>26</v>
      </c>
      <c r="B32" s="187" t="s">
        <v>240</v>
      </c>
      <c r="C32" s="221">
        <v>91490622</v>
      </c>
      <c r="D32" s="130"/>
      <c r="E32" s="130">
        <v>89458644</v>
      </c>
    </row>
    <row r="33" spans="1:5" x14ac:dyDescent="0.25">
      <c r="A33" s="24" t="s">
        <v>27</v>
      </c>
      <c r="B33" s="188" t="s">
        <v>152</v>
      </c>
      <c r="C33" s="130">
        <v>1241000</v>
      </c>
      <c r="D33" s="130"/>
      <c r="E33" s="130">
        <v>2577000</v>
      </c>
    </row>
    <row r="34" spans="1:5" x14ac:dyDescent="0.25">
      <c r="A34" s="24" t="s">
        <v>28</v>
      </c>
      <c r="B34" s="188" t="s">
        <v>153</v>
      </c>
      <c r="C34" s="130">
        <v>546000</v>
      </c>
      <c r="D34" s="130"/>
      <c r="E34" s="130">
        <v>559000</v>
      </c>
    </row>
    <row r="35" spans="1:5" x14ac:dyDescent="0.25">
      <c r="A35" s="24" t="s">
        <v>29</v>
      </c>
      <c r="B35" s="188" t="s">
        <v>154</v>
      </c>
      <c r="C35" s="130">
        <v>1536996</v>
      </c>
      <c r="D35" s="130"/>
      <c r="E35" s="130">
        <v>1607996</v>
      </c>
    </row>
    <row r="36" spans="1:5" x14ac:dyDescent="0.25">
      <c r="A36" s="24" t="s">
        <v>30</v>
      </c>
      <c r="B36" s="188" t="s">
        <v>155</v>
      </c>
      <c r="C36" s="130">
        <v>718744</v>
      </c>
      <c r="D36" s="130"/>
      <c r="E36" s="130">
        <v>765344</v>
      </c>
    </row>
    <row r="37" spans="1:5" x14ac:dyDescent="0.25">
      <c r="A37" s="24" t="s">
        <v>31</v>
      </c>
      <c r="B37" s="188" t="s">
        <v>239</v>
      </c>
      <c r="C37" s="130">
        <v>102956</v>
      </c>
      <c r="D37" s="130"/>
      <c r="E37" s="130">
        <v>117956</v>
      </c>
    </row>
    <row r="38" spans="1:5" x14ac:dyDescent="0.25">
      <c r="A38" s="24" t="s">
        <v>32</v>
      </c>
      <c r="B38" s="188" t="s">
        <v>156</v>
      </c>
      <c r="C38" s="130">
        <v>643388</v>
      </c>
      <c r="D38" s="130"/>
      <c r="E38" s="130">
        <v>799108</v>
      </c>
    </row>
    <row r="39" spans="1:5" x14ac:dyDescent="0.25">
      <c r="A39" s="24" t="s">
        <v>33</v>
      </c>
      <c r="B39" s="188" t="s">
        <v>157</v>
      </c>
      <c r="C39" s="130">
        <v>1296744</v>
      </c>
      <c r="D39" s="130"/>
      <c r="E39" s="130">
        <v>1353744</v>
      </c>
    </row>
    <row r="40" spans="1:5" x14ac:dyDescent="0.25">
      <c r="A40" s="24" t="s">
        <v>34</v>
      </c>
      <c r="B40" s="188" t="s">
        <v>158</v>
      </c>
      <c r="C40" s="130">
        <v>24168038</v>
      </c>
      <c r="D40" s="130"/>
      <c r="E40" s="130">
        <v>26690038</v>
      </c>
    </row>
    <row r="41" spans="1:5" x14ac:dyDescent="0.25">
      <c r="A41" s="24" t="s">
        <v>35</v>
      </c>
      <c r="B41" s="188" t="s">
        <v>159</v>
      </c>
      <c r="C41" s="130">
        <v>1845596</v>
      </c>
      <c r="D41" s="130"/>
      <c r="E41" s="130">
        <v>2091796</v>
      </c>
    </row>
    <row r="42" spans="1:5" x14ac:dyDescent="0.25">
      <c r="A42" s="24" t="s">
        <v>36</v>
      </c>
      <c r="B42" s="188" t="s">
        <v>160</v>
      </c>
      <c r="C42" s="130">
        <v>2007000</v>
      </c>
      <c r="D42" s="130"/>
      <c r="E42" s="130">
        <v>2108850</v>
      </c>
    </row>
    <row r="43" spans="1:5" x14ac:dyDescent="0.25">
      <c r="A43" s="24" t="s">
        <v>37</v>
      </c>
      <c r="B43" s="188" t="s">
        <v>161</v>
      </c>
      <c r="C43" s="130">
        <v>705000</v>
      </c>
      <c r="D43" s="130"/>
      <c r="E43" s="130">
        <v>861000</v>
      </c>
    </row>
    <row r="44" spans="1:5" ht="28.5" x14ac:dyDescent="0.25">
      <c r="A44" s="24" t="s">
        <v>38</v>
      </c>
      <c r="B44" s="188" t="s">
        <v>162</v>
      </c>
      <c r="C44" s="130">
        <v>21544044</v>
      </c>
      <c r="D44" s="130"/>
      <c r="E44" s="130">
        <v>21414600</v>
      </c>
    </row>
    <row r="45" spans="1:5" x14ac:dyDescent="0.25">
      <c r="A45" s="24" t="s">
        <v>39</v>
      </c>
      <c r="B45" s="188" t="s">
        <v>163</v>
      </c>
      <c r="C45" s="130">
        <v>850606</v>
      </c>
      <c r="D45" s="130"/>
      <c r="E45" s="130">
        <v>850606</v>
      </c>
    </row>
    <row r="46" spans="1:5" ht="15.75" thickBot="1" x14ac:dyDescent="0.3">
      <c r="A46" s="209" t="s">
        <v>40</v>
      </c>
      <c r="B46" s="210" t="s">
        <v>164</v>
      </c>
      <c r="C46" s="211">
        <v>1751000</v>
      </c>
      <c r="D46" s="130"/>
      <c r="E46" s="130">
        <v>1800000</v>
      </c>
    </row>
    <row r="47" spans="1:5" ht="13.5" customHeight="1" thickBot="1" x14ac:dyDescent="0.3">
      <c r="A47" s="215" t="s">
        <v>41</v>
      </c>
      <c r="B47" s="216" t="s">
        <v>165</v>
      </c>
      <c r="C47" s="217">
        <v>2308000</v>
      </c>
      <c r="D47" s="130"/>
      <c r="E47" s="130">
        <v>1442000</v>
      </c>
    </row>
    <row r="48" spans="1:5" ht="28.5" x14ac:dyDescent="0.25">
      <c r="A48" s="212" t="s">
        <v>42</v>
      </c>
      <c r="B48" s="213" t="s">
        <v>166</v>
      </c>
      <c r="C48" s="214">
        <v>603000</v>
      </c>
      <c r="D48" s="130"/>
      <c r="E48" s="130">
        <v>501000</v>
      </c>
    </row>
    <row r="49" spans="1:5" x14ac:dyDescent="0.25">
      <c r="A49" s="24" t="s">
        <v>43</v>
      </c>
      <c r="B49" s="52" t="s">
        <v>167</v>
      </c>
      <c r="C49" s="130">
        <v>234000</v>
      </c>
      <c r="D49" s="130"/>
      <c r="E49" s="130">
        <v>989140</v>
      </c>
    </row>
    <row r="50" spans="1:5" x14ac:dyDescent="0.25">
      <c r="A50" s="24" t="s">
        <v>44</v>
      </c>
      <c r="B50" s="188" t="s">
        <v>168</v>
      </c>
      <c r="C50" s="130">
        <v>9504752</v>
      </c>
      <c r="D50" s="130"/>
      <c r="E50" s="130">
        <v>8042752</v>
      </c>
    </row>
    <row r="51" spans="1:5" x14ac:dyDescent="0.25">
      <c r="A51" s="19" t="s">
        <v>45</v>
      </c>
      <c r="B51" s="52" t="s">
        <v>169</v>
      </c>
      <c r="C51" s="130">
        <v>2460000</v>
      </c>
      <c r="D51" s="130"/>
      <c r="E51" s="130">
        <v>2908000</v>
      </c>
    </row>
    <row r="52" spans="1:5" x14ac:dyDescent="0.25">
      <c r="A52" s="19" t="s">
        <v>46</v>
      </c>
      <c r="B52" s="188" t="s">
        <v>170</v>
      </c>
      <c r="C52" s="130">
        <v>409000</v>
      </c>
      <c r="D52" s="130"/>
      <c r="E52" s="130">
        <v>579000</v>
      </c>
    </row>
    <row r="53" spans="1:5" ht="18" customHeight="1" x14ac:dyDescent="0.25">
      <c r="A53" s="19" t="s">
        <v>47</v>
      </c>
      <c r="B53" s="188" t="s">
        <v>171</v>
      </c>
      <c r="C53" s="130">
        <v>140000</v>
      </c>
      <c r="D53" s="130"/>
      <c r="E53" s="130">
        <v>0</v>
      </c>
    </row>
    <row r="54" spans="1:5" x14ac:dyDescent="0.25">
      <c r="A54" s="19" t="s">
        <v>48</v>
      </c>
      <c r="B54" s="188" t="s">
        <v>172</v>
      </c>
      <c r="C54" s="130">
        <v>394538</v>
      </c>
      <c r="D54" s="130"/>
      <c r="E54" s="130">
        <v>0</v>
      </c>
    </row>
    <row r="55" spans="1:5" x14ac:dyDescent="0.25">
      <c r="A55" s="19" t="s">
        <v>49</v>
      </c>
      <c r="B55" s="188" t="s">
        <v>173</v>
      </c>
      <c r="C55" s="130">
        <v>1076000</v>
      </c>
      <c r="D55" s="130"/>
      <c r="E55" s="130">
        <v>1649538</v>
      </c>
    </row>
    <row r="56" spans="1:5" hidden="1" x14ac:dyDescent="0.25">
      <c r="A56" s="19" t="s">
        <v>50</v>
      </c>
      <c r="B56" s="188"/>
      <c r="C56" s="130">
        <v>0</v>
      </c>
      <c r="D56" s="130"/>
      <c r="E56" s="130">
        <v>0</v>
      </c>
    </row>
    <row r="57" spans="1:5" x14ac:dyDescent="0.25">
      <c r="A57" s="25" t="s">
        <v>51</v>
      </c>
      <c r="B57" s="188" t="s">
        <v>174</v>
      </c>
      <c r="C57" s="130">
        <v>1222500</v>
      </c>
      <c r="D57" s="130"/>
      <c r="E57" s="130">
        <v>0</v>
      </c>
    </row>
    <row r="58" spans="1:5" x14ac:dyDescent="0.25">
      <c r="A58" s="25" t="s">
        <v>52</v>
      </c>
      <c r="B58" s="189" t="s">
        <v>175</v>
      </c>
      <c r="C58" s="130">
        <v>5800000</v>
      </c>
      <c r="D58" s="130"/>
      <c r="E58" s="130">
        <v>1090000</v>
      </c>
    </row>
    <row r="59" spans="1:5" hidden="1" x14ac:dyDescent="0.25">
      <c r="A59" s="25" t="s">
        <v>53</v>
      </c>
      <c r="B59" s="190"/>
      <c r="C59" s="130">
        <v>0</v>
      </c>
      <c r="D59" s="130"/>
      <c r="E59" s="130">
        <v>0</v>
      </c>
    </row>
    <row r="60" spans="1:5" x14ac:dyDescent="0.25">
      <c r="A60" s="26" t="s">
        <v>54</v>
      </c>
      <c r="B60" s="188" t="s">
        <v>176</v>
      </c>
      <c r="C60" s="130">
        <v>3771374</v>
      </c>
      <c r="D60" s="130"/>
      <c r="E60" s="130">
        <v>4130680</v>
      </c>
    </row>
    <row r="61" spans="1:5" x14ac:dyDescent="0.25">
      <c r="A61" s="20" t="s">
        <v>55</v>
      </c>
      <c r="B61" s="191" t="s">
        <v>177</v>
      </c>
      <c r="C61" s="130">
        <v>4610346</v>
      </c>
      <c r="D61" s="130"/>
      <c r="E61" s="130">
        <v>4529496</v>
      </c>
    </row>
    <row r="62" spans="1:5" x14ac:dyDescent="0.25">
      <c r="A62" s="24" t="s">
        <v>56</v>
      </c>
      <c r="B62" s="192" t="s">
        <v>178</v>
      </c>
      <c r="C62" s="221">
        <v>31760412</v>
      </c>
      <c r="D62" s="130"/>
      <c r="E62" s="130">
        <v>41384520</v>
      </c>
    </row>
    <row r="63" spans="1:5" x14ac:dyDescent="0.25">
      <c r="A63" s="24" t="s">
        <v>57</v>
      </c>
      <c r="B63" s="193" t="s">
        <v>179</v>
      </c>
      <c r="C63" s="130">
        <v>930000</v>
      </c>
      <c r="D63" s="130"/>
      <c r="E63" s="130">
        <v>1073000</v>
      </c>
    </row>
    <row r="64" spans="1:5" x14ac:dyDescent="0.25">
      <c r="A64" s="24" t="s">
        <v>58</v>
      </c>
      <c r="B64" s="194" t="s">
        <v>180</v>
      </c>
      <c r="C64" s="130">
        <v>1578000</v>
      </c>
      <c r="D64" s="130"/>
      <c r="E64" s="130">
        <v>1690000</v>
      </c>
    </row>
    <row r="65" spans="1:5" ht="30" x14ac:dyDescent="0.25">
      <c r="A65" s="24" t="s">
        <v>59</v>
      </c>
      <c r="B65" s="51" t="s">
        <v>181</v>
      </c>
      <c r="C65" s="130">
        <v>4852000</v>
      </c>
      <c r="D65" s="130"/>
      <c r="E65" s="130">
        <v>5202000</v>
      </c>
    </row>
    <row r="66" spans="1:5" x14ac:dyDescent="0.25">
      <c r="A66" s="24" t="s">
        <v>60</v>
      </c>
      <c r="B66" s="195" t="s">
        <v>182</v>
      </c>
      <c r="C66" s="130">
        <v>709192</v>
      </c>
      <c r="D66" s="130"/>
      <c r="E66" s="130">
        <v>710368</v>
      </c>
    </row>
    <row r="67" spans="1:5" x14ac:dyDescent="0.25">
      <c r="A67" s="24" t="s">
        <v>61</v>
      </c>
      <c r="B67" s="195" t="s">
        <v>183</v>
      </c>
      <c r="C67" s="130">
        <v>1320000</v>
      </c>
      <c r="D67" s="130"/>
      <c r="E67" s="130">
        <v>2087144</v>
      </c>
    </row>
    <row r="68" spans="1:5" x14ac:dyDescent="0.25">
      <c r="A68" s="24" t="s">
        <v>62</v>
      </c>
      <c r="B68" s="193" t="s">
        <v>184</v>
      </c>
      <c r="C68" s="130">
        <v>1642408</v>
      </c>
      <c r="D68" s="130"/>
      <c r="E68" s="130">
        <v>1987608</v>
      </c>
    </row>
    <row r="69" spans="1:5" x14ac:dyDescent="0.25">
      <c r="A69" s="24" t="s">
        <v>63</v>
      </c>
      <c r="B69" s="193" t="s">
        <v>185</v>
      </c>
      <c r="C69" s="130">
        <v>4166000</v>
      </c>
      <c r="D69" s="130"/>
      <c r="E69" s="130">
        <v>4306000</v>
      </c>
    </row>
    <row r="70" spans="1:5" ht="28.5" x14ac:dyDescent="0.25">
      <c r="A70" s="24" t="s">
        <v>64</v>
      </c>
      <c r="B70" s="193" t="s">
        <v>186</v>
      </c>
      <c r="C70" s="130">
        <v>599000</v>
      </c>
      <c r="D70" s="130"/>
      <c r="E70" s="130">
        <v>714000</v>
      </c>
    </row>
    <row r="71" spans="1:5" ht="28.5" x14ac:dyDescent="0.25">
      <c r="A71" s="24" t="s">
        <v>65</v>
      </c>
      <c r="B71" s="193" t="s">
        <v>187</v>
      </c>
      <c r="C71" s="130">
        <v>234508</v>
      </c>
      <c r="D71" s="130"/>
      <c r="E71" s="130">
        <v>279900</v>
      </c>
    </row>
    <row r="72" spans="1:5" x14ac:dyDescent="0.25">
      <c r="A72" s="24" t="s">
        <v>66</v>
      </c>
      <c r="B72" s="68" t="s">
        <v>188</v>
      </c>
      <c r="C72" s="130">
        <v>576000</v>
      </c>
      <c r="D72" s="130"/>
      <c r="E72" s="130">
        <v>617000</v>
      </c>
    </row>
    <row r="73" spans="1:5" x14ac:dyDescent="0.25">
      <c r="A73" s="24" t="s">
        <v>67</v>
      </c>
      <c r="B73" s="193" t="s">
        <v>189</v>
      </c>
      <c r="C73" s="130">
        <v>200000</v>
      </c>
      <c r="D73" s="130"/>
      <c r="E73" s="130">
        <v>364000</v>
      </c>
    </row>
    <row r="74" spans="1:5" x14ac:dyDescent="0.25">
      <c r="A74" s="24" t="s">
        <v>68</v>
      </c>
      <c r="B74" s="193" t="s">
        <v>190</v>
      </c>
      <c r="C74" s="130">
        <v>2231004</v>
      </c>
      <c r="D74" s="130"/>
      <c r="E74" s="130">
        <v>2335000</v>
      </c>
    </row>
    <row r="75" spans="1:5" x14ac:dyDescent="0.25">
      <c r="A75" s="24" t="s">
        <v>69</v>
      </c>
      <c r="B75" s="193" t="s">
        <v>191</v>
      </c>
      <c r="C75" s="130">
        <v>1060000</v>
      </c>
      <c r="D75" s="130"/>
      <c r="E75" s="130">
        <v>1954000</v>
      </c>
    </row>
    <row r="76" spans="1:5" ht="28.5" x14ac:dyDescent="0.25">
      <c r="A76" s="24" t="s">
        <v>70</v>
      </c>
      <c r="B76" s="193" t="s">
        <v>192</v>
      </c>
      <c r="C76" s="130">
        <v>4696000</v>
      </c>
      <c r="D76" s="130"/>
      <c r="E76" s="130">
        <v>10836000</v>
      </c>
    </row>
    <row r="77" spans="1:5" x14ac:dyDescent="0.25">
      <c r="A77" s="24" t="s">
        <v>71</v>
      </c>
      <c r="B77" s="193" t="s">
        <v>193</v>
      </c>
      <c r="C77" s="130">
        <v>346000</v>
      </c>
      <c r="D77" s="130"/>
      <c r="E77" s="130">
        <v>481000</v>
      </c>
    </row>
    <row r="78" spans="1:5" ht="28.5" x14ac:dyDescent="0.25">
      <c r="A78" s="24" t="s">
        <v>72</v>
      </c>
      <c r="B78" s="193" t="s">
        <v>194</v>
      </c>
      <c r="C78" s="130">
        <v>1303000</v>
      </c>
      <c r="D78" s="130"/>
      <c r="E78" s="130">
        <v>1307000</v>
      </c>
    </row>
    <row r="79" spans="1:5" x14ac:dyDescent="0.25">
      <c r="A79" s="24" t="s">
        <v>73</v>
      </c>
      <c r="B79" s="193" t="s">
        <v>235</v>
      </c>
      <c r="C79" s="130">
        <v>1691000</v>
      </c>
      <c r="D79" s="130"/>
      <c r="E79" s="130">
        <v>1704000</v>
      </c>
    </row>
    <row r="80" spans="1:5" x14ac:dyDescent="0.25">
      <c r="A80" s="24" t="s">
        <v>74</v>
      </c>
      <c r="B80" s="193" t="s">
        <v>195</v>
      </c>
      <c r="C80" s="130">
        <v>210000</v>
      </c>
      <c r="D80" s="130"/>
      <c r="E80" s="130">
        <v>208000</v>
      </c>
    </row>
    <row r="81" spans="1:5" x14ac:dyDescent="0.25">
      <c r="A81" s="24" t="s">
        <v>75</v>
      </c>
      <c r="B81" s="193" t="s">
        <v>196</v>
      </c>
      <c r="C81" s="130">
        <v>980000</v>
      </c>
      <c r="D81" s="130"/>
      <c r="E81" s="130">
        <v>1132000</v>
      </c>
    </row>
    <row r="82" spans="1:5" x14ac:dyDescent="0.25">
      <c r="A82" s="24" t="s">
        <v>76</v>
      </c>
      <c r="B82" s="193" t="s">
        <v>197</v>
      </c>
      <c r="C82" s="130">
        <v>817500</v>
      </c>
      <c r="D82" s="130"/>
      <c r="E82" s="130">
        <v>677500</v>
      </c>
    </row>
    <row r="83" spans="1:5" x14ac:dyDescent="0.25">
      <c r="A83" s="24" t="s">
        <v>77</v>
      </c>
      <c r="B83" s="193" t="s">
        <v>198</v>
      </c>
      <c r="C83" s="130">
        <v>80000</v>
      </c>
      <c r="D83" s="130"/>
      <c r="E83" s="130">
        <v>112000</v>
      </c>
    </row>
    <row r="84" spans="1:5" x14ac:dyDescent="0.25">
      <c r="A84" s="24" t="s">
        <v>78</v>
      </c>
      <c r="B84" s="193" t="s">
        <v>199</v>
      </c>
      <c r="C84" s="130">
        <v>215200</v>
      </c>
      <c r="D84" s="130"/>
      <c r="E84" s="130">
        <v>288000</v>
      </c>
    </row>
    <row r="85" spans="1:5" x14ac:dyDescent="0.25">
      <c r="A85" s="27" t="s">
        <v>79</v>
      </c>
      <c r="B85" s="196" t="s">
        <v>200</v>
      </c>
      <c r="C85" s="130">
        <v>1040000</v>
      </c>
      <c r="D85" s="130"/>
      <c r="E85" s="130">
        <v>1033000</v>
      </c>
    </row>
    <row r="86" spans="1:5" ht="15.75" customHeight="1" x14ac:dyDescent="0.25">
      <c r="A86" s="27" t="s">
        <v>80</v>
      </c>
      <c r="B86" s="196" t="s">
        <v>201</v>
      </c>
      <c r="C86" s="130">
        <v>103600</v>
      </c>
      <c r="D86" s="130"/>
      <c r="E86" s="130">
        <v>106000</v>
      </c>
    </row>
    <row r="87" spans="1:5" ht="24.75" customHeight="1" x14ac:dyDescent="0.25">
      <c r="A87" s="24">
        <v>46083</v>
      </c>
      <c r="B87" s="196" t="s">
        <v>202</v>
      </c>
      <c r="C87" s="130">
        <v>180000</v>
      </c>
      <c r="D87" s="130"/>
      <c r="E87" s="130">
        <v>180000</v>
      </c>
    </row>
    <row r="88" spans="1:5" x14ac:dyDescent="0.25">
      <c r="A88" s="31">
        <v>2.4</v>
      </c>
      <c r="B88" s="187" t="s">
        <v>203</v>
      </c>
      <c r="C88" s="221">
        <v>38912567</v>
      </c>
      <c r="D88" s="130"/>
      <c r="E88" s="130">
        <v>43225087</v>
      </c>
    </row>
    <row r="89" spans="1:5" x14ac:dyDescent="0.25">
      <c r="A89" s="24" t="s">
        <v>81</v>
      </c>
      <c r="B89" s="197" t="s">
        <v>204</v>
      </c>
      <c r="C89" s="221">
        <v>25674467</v>
      </c>
      <c r="D89" s="130"/>
      <c r="E89" s="130">
        <v>27539691</v>
      </c>
    </row>
    <row r="90" spans="1:5" x14ac:dyDescent="0.25">
      <c r="A90" s="24" t="s">
        <v>82</v>
      </c>
      <c r="B90" s="48" t="s">
        <v>205</v>
      </c>
      <c r="C90" s="130">
        <v>3010000</v>
      </c>
      <c r="D90" s="130"/>
      <c r="E90" s="130">
        <v>3310000</v>
      </c>
    </row>
    <row r="91" spans="1:5" x14ac:dyDescent="0.25">
      <c r="A91" s="24" t="s">
        <v>83</v>
      </c>
      <c r="B91" s="48" t="s">
        <v>206</v>
      </c>
      <c r="C91" s="130">
        <v>14859467</v>
      </c>
      <c r="D91" s="130"/>
      <c r="E91" s="130">
        <v>15074691</v>
      </c>
    </row>
    <row r="92" spans="1:5" x14ac:dyDescent="0.25">
      <c r="A92" s="24" t="s">
        <v>84</v>
      </c>
      <c r="B92" s="48" t="s">
        <v>207</v>
      </c>
      <c r="C92" s="130">
        <v>200000</v>
      </c>
      <c r="D92" s="130"/>
      <c r="E92" s="130">
        <v>200000</v>
      </c>
    </row>
    <row r="93" spans="1:5" x14ac:dyDescent="0.25">
      <c r="A93" s="24" t="s">
        <v>85</v>
      </c>
      <c r="B93" s="48" t="s">
        <v>208</v>
      </c>
      <c r="C93" s="130">
        <v>2110000</v>
      </c>
      <c r="D93" s="130"/>
      <c r="E93" s="130">
        <v>2800000</v>
      </c>
    </row>
    <row r="94" spans="1:5" x14ac:dyDescent="0.25">
      <c r="A94" s="24" t="s">
        <v>86</v>
      </c>
      <c r="B94" s="48" t="s">
        <v>209</v>
      </c>
      <c r="C94" s="130">
        <v>210000</v>
      </c>
      <c r="D94" s="130"/>
      <c r="E94" s="130">
        <v>210000</v>
      </c>
    </row>
    <row r="95" spans="1:5" x14ac:dyDescent="0.25">
      <c r="A95" s="24" t="s">
        <v>87</v>
      </c>
      <c r="B95" s="48" t="s">
        <v>210</v>
      </c>
      <c r="C95" s="130">
        <v>50000</v>
      </c>
      <c r="D95" s="130"/>
      <c r="E95" s="130">
        <v>250000</v>
      </c>
    </row>
    <row r="96" spans="1:5" x14ac:dyDescent="0.25">
      <c r="A96" s="24" t="s">
        <v>88</v>
      </c>
      <c r="B96" s="48" t="s">
        <v>211</v>
      </c>
      <c r="C96" s="130">
        <v>425000</v>
      </c>
      <c r="D96" s="130"/>
      <c r="E96" s="130">
        <v>525000</v>
      </c>
    </row>
    <row r="97" spans="1:5" x14ac:dyDescent="0.25">
      <c r="A97" s="24" t="s">
        <v>89</v>
      </c>
      <c r="B97" s="48" t="s">
        <v>212</v>
      </c>
      <c r="C97" s="130">
        <v>4600600</v>
      </c>
      <c r="D97" s="130"/>
      <c r="E97" s="130">
        <v>4821000</v>
      </c>
    </row>
    <row r="98" spans="1:5" ht="28.5" x14ac:dyDescent="0.25">
      <c r="A98" s="24" t="s">
        <v>90</v>
      </c>
      <c r="B98" s="188" t="s">
        <v>213</v>
      </c>
      <c r="C98" s="130">
        <v>209400</v>
      </c>
      <c r="D98" s="130"/>
      <c r="E98" s="130">
        <v>349000</v>
      </c>
    </row>
    <row r="99" spans="1:5" x14ac:dyDescent="0.25">
      <c r="A99" s="24" t="s">
        <v>91</v>
      </c>
      <c r="B99" s="198" t="s">
        <v>214</v>
      </c>
      <c r="C99" s="221">
        <v>1887000</v>
      </c>
      <c r="D99" s="130"/>
      <c r="E99" s="130">
        <v>3080000</v>
      </c>
    </row>
    <row r="100" spans="1:5" x14ac:dyDescent="0.25">
      <c r="A100" s="24" t="s">
        <v>92</v>
      </c>
      <c r="B100" s="198" t="s">
        <v>215</v>
      </c>
      <c r="C100" s="130">
        <v>0</v>
      </c>
      <c r="D100" s="130"/>
      <c r="E100" s="130">
        <v>30000</v>
      </c>
    </row>
    <row r="101" spans="1:5" x14ac:dyDescent="0.25">
      <c r="A101" s="24" t="s">
        <v>93</v>
      </c>
      <c r="B101" s="198" t="s">
        <v>216</v>
      </c>
      <c r="C101" s="221">
        <v>1567100</v>
      </c>
      <c r="D101" s="130"/>
      <c r="E101" s="130">
        <v>1617800</v>
      </c>
    </row>
    <row r="102" spans="1:5" ht="14.25" customHeight="1" x14ac:dyDescent="0.25">
      <c r="A102" s="27" t="s">
        <v>94</v>
      </c>
      <c r="B102" s="199" t="s">
        <v>217</v>
      </c>
      <c r="C102" s="221">
        <v>1124600</v>
      </c>
      <c r="D102" s="130"/>
      <c r="E102" s="130">
        <v>2874600</v>
      </c>
    </row>
    <row r="103" spans="1:5" hidden="1" x14ac:dyDescent="0.25">
      <c r="A103" s="27" t="s">
        <v>95</v>
      </c>
      <c r="B103" s="199" t="s">
        <v>96</v>
      </c>
      <c r="C103" s="130">
        <v>0</v>
      </c>
      <c r="D103" s="130"/>
      <c r="E103" s="130">
        <v>0</v>
      </c>
    </row>
    <row r="104" spans="1:5" x14ac:dyDescent="0.25">
      <c r="A104" s="27" t="s">
        <v>97</v>
      </c>
      <c r="B104" s="199" t="s">
        <v>219</v>
      </c>
      <c r="C104" s="130">
        <v>575400</v>
      </c>
      <c r="D104" s="130"/>
      <c r="E104" s="130">
        <v>983000</v>
      </c>
    </row>
    <row r="105" spans="1:5" ht="42.75" x14ac:dyDescent="0.25">
      <c r="A105" s="28" t="s">
        <v>116</v>
      </c>
      <c r="B105" s="206" t="s">
        <v>249</v>
      </c>
      <c r="C105" s="130">
        <v>200000</v>
      </c>
      <c r="D105" s="130"/>
      <c r="E105" s="130">
        <v>150000</v>
      </c>
    </row>
    <row r="106" spans="1:5" ht="28.5" x14ac:dyDescent="0.25">
      <c r="A106" s="28" t="s">
        <v>117</v>
      </c>
      <c r="B106" s="206" t="s">
        <v>220</v>
      </c>
      <c r="C106" s="130">
        <v>2700000</v>
      </c>
      <c r="D106" s="130"/>
      <c r="E106" s="130">
        <v>2530000</v>
      </c>
    </row>
    <row r="107" spans="1:5" ht="30" x14ac:dyDescent="0.25">
      <c r="A107" s="28" t="s">
        <v>98</v>
      </c>
      <c r="B107" s="200" t="s">
        <v>233</v>
      </c>
      <c r="C107" s="221">
        <v>5184000</v>
      </c>
      <c r="D107" s="130"/>
      <c r="E107" s="130">
        <v>4419996</v>
      </c>
    </row>
    <row r="108" spans="1:5" ht="29.25" customHeight="1" x14ac:dyDescent="0.25">
      <c r="A108" s="28" t="s">
        <v>99</v>
      </c>
      <c r="B108" s="196" t="s">
        <v>232</v>
      </c>
      <c r="C108" s="130">
        <v>370000</v>
      </c>
      <c r="D108" s="130"/>
      <c r="E108" s="130">
        <v>400000</v>
      </c>
    </row>
    <row r="109" spans="1:5" ht="0.75" customHeight="1" x14ac:dyDescent="0.25">
      <c r="A109" s="28" t="s">
        <v>100</v>
      </c>
      <c r="B109" s="196"/>
      <c r="C109" s="130">
        <v>0</v>
      </c>
      <c r="D109" s="130"/>
      <c r="E109" s="130">
        <v>0</v>
      </c>
    </row>
    <row r="110" spans="1:5" x14ac:dyDescent="0.25">
      <c r="A110" s="28" t="s">
        <v>101</v>
      </c>
      <c r="B110" s="196" t="s">
        <v>221</v>
      </c>
      <c r="C110" s="130">
        <v>1960000</v>
      </c>
      <c r="D110" s="130"/>
      <c r="E110" s="130">
        <v>1920000</v>
      </c>
    </row>
    <row r="111" spans="1:5" x14ac:dyDescent="0.25">
      <c r="A111" s="28" t="s">
        <v>102</v>
      </c>
      <c r="B111" s="196" t="s">
        <v>222</v>
      </c>
      <c r="C111" s="130">
        <v>1750000</v>
      </c>
      <c r="D111" s="130"/>
      <c r="E111" s="130">
        <v>1850000</v>
      </c>
    </row>
    <row r="112" spans="1:5" x14ac:dyDescent="0.25">
      <c r="A112" s="28" t="s">
        <v>103</v>
      </c>
      <c r="B112" s="196" t="s">
        <v>223</v>
      </c>
      <c r="C112" s="130">
        <v>250000</v>
      </c>
      <c r="D112" s="130"/>
      <c r="E112" s="130">
        <v>249996</v>
      </c>
    </row>
    <row r="113" spans="1:5" ht="30" x14ac:dyDescent="0.25">
      <c r="A113" s="205" t="s">
        <v>104</v>
      </c>
      <c r="B113" s="187" t="s">
        <v>224</v>
      </c>
      <c r="C113" s="221">
        <v>360000</v>
      </c>
      <c r="D113" s="130"/>
      <c r="E113" s="130">
        <v>5582000</v>
      </c>
    </row>
    <row r="114" spans="1:5" ht="0.75" customHeight="1" x14ac:dyDescent="0.25">
      <c r="A114" s="30" t="s">
        <v>105</v>
      </c>
      <c r="B114" s="201" t="s">
        <v>122</v>
      </c>
      <c r="C114" s="130">
        <v>0</v>
      </c>
      <c r="D114" s="130"/>
      <c r="E114" s="130"/>
    </row>
    <row r="115" spans="1:5" hidden="1" x14ac:dyDescent="0.25">
      <c r="A115" s="30" t="s">
        <v>106</v>
      </c>
      <c r="B115" s="201" t="s">
        <v>107</v>
      </c>
      <c r="C115" s="130">
        <v>0</v>
      </c>
      <c r="D115" s="130"/>
      <c r="E115" s="130">
        <v>0</v>
      </c>
    </row>
    <row r="116" spans="1:5" x14ac:dyDescent="0.25">
      <c r="A116" s="30" t="s">
        <v>108</v>
      </c>
      <c r="B116" s="201" t="s">
        <v>226</v>
      </c>
      <c r="C116" s="130">
        <v>360000</v>
      </c>
      <c r="D116" s="130"/>
      <c r="E116" s="130">
        <v>5582000</v>
      </c>
    </row>
    <row r="117" spans="1:5" ht="0.75" customHeight="1" x14ac:dyDescent="0.25">
      <c r="A117" s="30" t="s">
        <v>109</v>
      </c>
      <c r="B117" s="184" t="s">
        <v>110</v>
      </c>
      <c r="C117" s="130">
        <v>0</v>
      </c>
      <c r="D117" s="130"/>
      <c r="E117" s="130">
        <v>0</v>
      </c>
    </row>
    <row r="118" spans="1:5" x14ac:dyDescent="0.25">
      <c r="A118" s="19" t="s">
        <v>111</v>
      </c>
      <c r="B118" s="202" t="s">
        <v>228</v>
      </c>
      <c r="C118" s="221">
        <v>171452367</v>
      </c>
      <c r="D118" s="130"/>
      <c r="E118" s="130">
        <v>142522481</v>
      </c>
    </row>
    <row r="119" spans="1:5" x14ac:dyDescent="0.25">
      <c r="A119" s="19" t="s">
        <v>112</v>
      </c>
      <c r="B119" s="202" t="s">
        <v>229</v>
      </c>
      <c r="C119" s="221">
        <v>3231000</v>
      </c>
      <c r="D119" s="130"/>
      <c r="E119" s="130">
        <v>350000</v>
      </c>
    </row>
    <row r="120" spans="1:5" ht="42.75" x14ac:dyDescent="0.25">
      <c r="A120" s="20" t="s">
        <v>113</v>
      </c>
      <c r="B120" s="44" t="s">
        <v>268</v>
      </c>
      <c r="C120" s="221">
        <v>98728814</v>
      </c>
      <c r="D120" s="130"/>
      <c r="E120" s="130"/>
    </row>
    <row r="121" spans="1:5" x14ac:dyDescent="0.25">
      <c r="A121" s="29"/>
      <c r="B121" s="203"/>
      <c r="C121" s="130">
        <v>0</v>
      </c>
      <c r="D121" s="130"/>
      <c r="E121" s="130"/>
    </row>
    <row r="122" spans="1:5" x14ac:dyDescent="0.25">
      <c r="A122" s="21" t="s">
        <v>114</v>
      </c>
      <c r="B122" s="128" t="s">
        <v>231</v>
      </c>
      <c r="C122" s="130">
        <v>1519362</v>
      </c>
      <c r="D122" s="130"/>
      <c r="E122" s="130">
        <v>558676.36694669724</v>
      </c>
    </row>
    <row r="124" spans="1:5" x14ac:dyDescent="0.25">
      <c r="A124" s="208" t="s">
        <v>272</v>
      </c>
      <c r="B124" s="208"/>
      <c r="C124" s="207"/>
    </row>
    <row r="125" spans="1:5" x14ac:dyDescent="0.25">
      <c r="A125" s="207"/>
      <c r="B125" s="207"/>
      <c r="C125" s="207"/>
    </row>
    <row r="126" spans="1:5" x14ac:dyDescent="0.25">
      <c r="A126" s="207"/>
      <c r="B126" s="207" t="s">
        <v>269</v>
      </c>
      <c r="C126" s="207"/>
    </row>
    <row r="127" spans="1:5" x14ac:dyDescent="0.25">
      <c r="A127" s="207"/>
      <c r="B127" s="207" t="s">
        <v>270</v>
      </c>
      <c r="C127" s="207"/>
    </row>
    <row r="128" spans="1:5" x14ac:dyDescent="0.25">
      <c r="A128" s="207"/>
      <c r="B128" s="207" t="s">
        <v>271</v>
      </c>
      <c r="C128" s="207"/>
    </row>
    <row r="129" spans="1:3" x14ac:dyDescent="0.25">
      <c r="A129" s="207"/>
      <c r="B129" s="207"/>
      <c r="C129" s="207"/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предлог план со подружници</vt:lpstr>
      <vt:lpstr>споредбено со 2020 и 2021</vt:lpstr>
      <vt:lpstr>споредбено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2021-01-18T13:08:32Z</cp:lastPrinted>
  <dcterms:created xsi:type="dcterms:W3CDTF">2019-11-13T07:20:09Z</dcterms:created>
  <dcterms:modified xsi:type="dcterms:W3CDTF">2021-02-11T21:20:32Z</dcterms:modified>
</cp:coreProperties>
</file>